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27"/>
  <workbookPr codeName="ThisWorkbook" defaultThemeVersion="124226"/>
  <mc:AlternateContent xmlns:mc="http://schemas.openxmlformats.org/markup-compatibility/2006">
    <mc:Choice Requires="x15">
      <x15ac:absPath xmlns:x15ac="http://schemas.microsoft.com/office/spreadsheetml/2010/11/ac" url="S:\04 Robert\Robi\iz_NW\INVESTICIJE\INVESTICIJE_2022\Širitev pokopališča Škocjan v L 2022\RD Širitev pokop Škocjan GP6 Etapa5\Portal JN\"/>
    </mc:Choice>
  </mc:AlternateContent>
  <xr:revisionPtr revIDLastSave="0" documentId="13_ncr:1_{E6EF1352-6409-4E3D-B6BD-65901F8ECA0B}" xr6:coauthVersionLast="47" xr6:coauthVersionMax="47" xr10:uidLastSave="{00000000-0000-0000-0000-000000000000}"/>
  <bookViews>
    <workbookView xWindow="6150" yWindow="0" windowWidth="22200" windowHeight="15960" tabRatio="938" firstSheet="1" activeTab="2" xr2:uid="{00000000-000D-0000-FFFF-FFFF00000000}"/>
  </bookViews>
  <sheets>
    <sheet name="Faza4 (2)" sheetId="13" state="hidden" r:id="rId1"/>
    <sheet name="rekapitulacija-pokopališče2022" sheetId="34" r:id="rId2"/>
    <sheet name="ETAPA 5" sheetId="25" r:id="rId3"/>
  </sheets>
  <externalReferences>
    <externalReference r:id="rId4"/>
    <externalReference r:id="rId5"/>
  </externalReferences>
  <definedNames>
    <definedName name="_Toc92683849" localSheetId="2">'ETAPA 5'!#REF!</definedName>
    <definedName name="_Toc92683917" localSheetId="2">'ETAPA 5'!#REF!</definedName>
    <definedName name="_Toc92683917" localSheetId="0">'Faza4 (2)'!#REF!</definedName>
    <definedName name="_xlnm.Print_Area" localSheetId="2">'ETAPA 5'!$A$1:$F$435</definedName>
    <definedName name="_xlnm.Print_Area" localSheetId="0">'Faza4 (2)'!$A$1:$F$81</definedName>
    <definedName name="_xlnm.Print_Area" localSheetId="1">'rekapitulacija-pokopališče2022'!$A$1:$H$34</definedName>
    <definedName name="skA">'[1]STRUŠKA II'!$H$27</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306" i="25" l="1"/>
  <c r="A432" i="25"/>
  <c r="A431" i="25"/>
  <c r="A424" i="25"/>
  <c r="A419" i="25"/>
  <c r="A418" i="25"/>
  <c r="D13" i="25"/>
  <c r="F13" i="25" s="1"/>
  <c r="D15" i="25"/>
  <c r="F15" i="25" s="1"/>
  <c r="D63" i="25"/>
  <c r="D48" i="25"/>
  <c r="F48" i="25" s="1"/>
  <c r="D49" i="25"/>
  <c r="F49" i="25" s="1"/>
  <c r="D50" i="25"/>
  <c r="F50" i="25" s="1"/>
  <c r="F10" i="25"/>
  <c r="F11" i="25"/>
  <c r="D17" i="25"/>
  <c r="F17" i="25" s="1"/>
  <c r="F5" i="25"/>
  <c r="F4" i="25"/>
  <c r="F6" i="25" s="1"/>
  <c r="F418" i="25" s="1"/>
  <c r="F32" i="25"/>
  <c r="F411" i="25"/>
  <c r="F408" i="25"/>
  <c r="F405" i="25"/>
  <c r="F402" i="25"/>
  <c r="F401" i="25"/>
  <c r="F398" i="25"/>
  <c r="F395" i="25"/>
  <c r="F392" i="25"/>
  <c r="F389" i="25"/>
  <c r="F385" i="25"/>
  <c r="F382" i="25"/>
  <c r="F34" i="25"/>
  <c r="F33" i="25"/>
  <c r="F378" i="25"/>
  <c r="F374" i="25"/>
  <c r="F371" i="25"/>
  <c r="F368" i="25"/>
  <c r="F365" i="25"/>
  <c r="F359" i="25"/>
  <c r="F360" i="25" s="1"/>
  <c r="F431" i="25" s="1"/>
  <c r="D113" i="25"/>
  <c r="F113" i="25" s="1"/>
  <c r="F263" i="25"/>
  <c r="F347" i="25"/>
  <c r="F312" i="25"/>
  <c r="F311" i="25"/>
  <c r="F338" i="25"/>
  <c r="F339" i="25"/>
  <c r="D354" i="25"/>
  <c r="F354" i="25" s="1"/>
  <c r="F352" i="25"/>
  <c r="D343" i="25"/>
  <c r="F343" i="25" s="1"/>
  <c r="D335" i="25"/>
  <c r="F335" i="25" s="1"/>
  <c r="D334" i="25"/>
  <c r="F334" i="25" s="1"/>
  <c r="D328" i="25"/>
  <c r="F328" i="25" s="1"/>
  <c r="D319" i="25"/>
  <c r="F319" i="25" s="1"/>
  <c r="F323" i="25"/>
  <c r="F324" i="25"/>
  <c r="D307" i="25"/>
  <c r="F307" i="25" s="1"/>
  <c r="D318" i="25"/>
  <c r="F302" i="25"/>
  <c r="F301" i="25"/>
  <c r="D276" i="25"/>
  <c r="F276" i="25" s="1"/>
  <c r="D273" i="25"/>
  <c r="D270" i="25"/>
  <c r="F270" i="25" s="1"/>
  <c r="D218" i="25"/>
  <c r="F218" i="25" s="1"/>
  <c r="D101" i="25"/>
  <c r="F101" i="25" s="1"/>
  <c r="D100" i="25"/>
  <c r="F100" i="25" s="1"/>
  <c r="D99" i="25"/>
  <c r="F99" i="25" s="1"/>
  <c r="D98" i="25"/>
  <c r="F98" i="25" s="1"/>
  <c r="D93" i="25"/>
  <c r="F93" i="25" s="1"/>
  <c r="D92" i="25"/>
  <c r="F92" i="25" s="1"/>
  <c r="F89" i="25"/>
  <c r="D85" i="25"/>
  <c r="F85" i="25" s="1"/>
  <c r="D84" i="25"/>
  <c r="F84" i="25" s="1"/>
  <c r="D83" i="25"/>
  <c r="F83" i="25"/>
  <c r="D82" i="25"/>
  <c r="F82" i="25" s="1"/>
  <c r="D79" i="25"/>
  <c r="F79" i="25" s="1"/>
  <c r="D77" i="25"/>
  <c r="F77" i="25" s="1"/>
  <c r="D75" i="25"/>
  <c r="F75" i="25"/>
  <c r="D74" i="25"/>
  <c r="F74" i="25" s="1"/>
  <c r="D58" i="25"/>
  <c r="F58" i="25" s="1"/>
  <c r="D57" i="25"/>
  <c r="F57" i="25" s="1"/>
  <c r="D56" i="25"/>
  <c r="F56" i="25"/>
  <c r="D55" i="25"/>
  <c r="F55" i="25" s="1"/>
  <c r="D54" i="25"/>
  <c r="F54" i="25" s="1"/>
  <c r="F24" i="25"/>
  <c r="F31" i="25"/>
  <c r="F27" i="25"/>
  <c r="F26" i="25"/>
  <c r="F25" i="25"/>
  <c r="F30" i="25"/>
  <c r="F29" i="25"/>
  <c r="F28" i="25"/>
  <c r="F63" i="25"/>
  <c r="D290" i="25"/>
  <c r="F290" i="25" s="1"/>
  <c r="D287" i="25"/>
  <c r="F287" i="25" s="1"/>
  <c r="D284" i="25"/>
  <c r="F284" i="25"/>
  <c r="D159" i="25"/>
  <c r="F159" i="25" s="1"/>
  <c r="D160" i="25"/>
  <c r="F160" i="25" s="1"/>
  <c r="F95" i="25"/>
  <c r="F22" i="25"/>
  <c r="F23" i="25"/>
  <c r="F35" i="25"/>
  <c r="F38" i="25"/>
  <c r="F39" i="25"/>
  <c r="F40" i="25"/>
  <c r="F43" i="25"/>
  <c r="F53" i="25"/>
  <c r="F61" i="25"/>
  <c r="F62" i="25"/>
  <c r="F64" i="25"/>
  <c r="D65" i="25"/>
  <c r="F65" i="25" s="1"/>
  <c r="D66" i="25"/>
  <c r="F66" i="25"/>
  <c r="F76" i="25"/>
  <c r="F78" i="25"/>
  <c r="F86" i="25"/>
  <c r="F94" i="25"/>
  <c r="F106" i="25"/>
  <c r="D107" i="25"/>
  <c r="F107" i="25" s="1"/>
  <c r="F108" i="25"/>
  <c r="F109" i="25"/>
  <c r="D110" i="25"/>
  <c r="F110" i="25" s="1"/>
  <c r="F111" i="25"/>
  <c r="D112" i="25"/>
  <c r="F112" i="25" s="1"/>
  <c r="F114" i="25"/>
  <c r="F115" i="25"/>
  <c r="F118" i="25"/>
  <c r="F119" i="25"/>
  <c r="F120" i="25"/>
  <c r="F121" i="25"/>
  <c r="F122" i="25"/>
  <c r="D125" i="25"/>
  <c r="F125" i="25" s="1"/>
  <c r="F128" i="25"/>
  <c r="F129" i="25"/>
  <c r="F130" i="25"/>
  <c r="F131" i="25"/>
  <c r="D134" i="25"/>
  <c r="F134" i="25" s="1"/>
  <c r="F135" i="25"/>
  <c r="F136" i="25"/>
  <c r="F137" i="25"/>
  <c r="F142" i="25"/>
  <c r="F143" i="25"/>
  <c r="F144" i="25"/>
  <c r="F145" i="25"/>
  <c r="F146" i="25"/>
  <c r="F149" i="25"/>
  <c r="F150" i="25"/>
  <c r="F151" i="25"/>
  <c r="F152" i="25"/>
  <c r="F153" i="25"/>
  <c r="F156" i="25"/>
  <c r="F161" i="25"/>
  <c r="F162" i="25"/>
  <c r="D165" i="25"/>
  <c r="F165" i="25" s="1"/>
  <c r="F166" i="25"/>
  <c r="F167" i="25"/>
  <c r="F168" i="25"/>
  <c r="F173" i="25"/>
  <c r="F174" i="25"/>
  <c r="F185" i="25" s="1"/>
  <c r="F425" i="25" s="1"/>
  <c r="F177" i="25"/>
  <c r="F178" i="25"/>
  <c r="F179" i="25"/>
  <c r="F180" i="25"/>
  <c r="F183" i="25"/>
  <c r="F184" i="25"/>
  <c r="F189" i="25"/>
  <c r="F192" i="25"/>
  <c r="F193" i="25"/>
  <c r="F196" i="25"/>
  <c r="F199" i="25"/>
  <c r="F200" i="25"/>
  <c r="F201" i="25"/>
  <c r="F202" i="25"/>
  <c r="F203" i="25"/>
  <c r="F204" i="25"/>
  <c r="F205" i="25"/>
  <c r="F206" i="25"/>
  <c r="F207" i="25"/>
  <c r="F212" i="25"/>
  <c r="F213" i="25"/>
  <c r="F214" i="25"/>
  <c r="D215" i="25"/>
  <c r="F215" i="25"/>
  <c r="F219" i="25"/>
  <c r="F222" i="25"/>
  <c r="F225" i="25"/>
  <c r="F228" i="25"/>
  <c r="F231" i="25"/>
  <c r="D236" i="25"/>
  <c r="F236" i="25" s="1"/>
  <c r="D237" i="25"/>
  <c r="F237" i="25" s="1"/>
  <c r="F240" i="25"/>
  <c r="F241" i="25"/>
  <c r="F244" i="25"/>
  <c r="D247" i="25"/>
  <c r="F247" i="25" s="1"/>
  <c r="D248" i="25"/>
  <c r="F248" i="25"/>
  <c r="F251" i="25"/>
  <c r="F252" i="25"/>
  <c r="F253" i="25"/>
  <c r="F256" i="25"/>
  <c r="F259" i="25"/>
  <c r="F262" i="25"/>
  <c r="F269" i="25"/>
  <c r="F273" i="25"/>
  <c r="F279" i="25"/>
  <c r="F283" i="25"/>
  <c r="F296" i="25"/>
  <c r="F297" i="25"/>
  <c r="F306" i="25"/>
  <c r="F310" i="25"/>
  <c r="F315" i="25"/>
  <c r="F318" i="25"/>
  <c r="F322" i="25"/>
  <c r="F331" i="25"/>
  <c r="F346" i="25"/>
  <c r="F348" i="25"/>
  <c r="F351" i="25"/>
  <c r="F353" i="25"/>
  <c r="F355" i="25"/>
  <c r="A420" i="25"/>
  <c r="A421" i="25"/>
  <c r="A422" i="25"/>
  <c r="A423" i="25"/>
  <c r="A425" i="25"/>
  <c r="A426" i="25"/>
  <c r="A427" i="25"/>
  <c r="A428" i="25"/>
  <c r="A429" i="25"/>
  <c r="A430" i="25"/>
  <c r="F5" i="13"/>
  <c r="F7" i="13"/>
  <c r="F75" i="13"/>
  <c r="F6" i="13"/>
  <c r="F12" i="13"/>
  <c r="F16" i="13"/>
  <c r="F76" i="13"/>
  <c r="F14" i="13"/>
  <c r="F20" i="13"/>
  <c r="F21" i="13"/>
  <c r="F22" i="13"/>
  <c r="F24" i="13"/>
  <c r="F25" i="13"/>
  <c r="F26" i="13"/>
  <c r="F27" i="13"/>
  <c r="F29" i="13"/>
  <c r="F30" i="13"/>
  <c r="F32" i="13"/>
  <c r="F34" i="13"/>
  <c r="F35" i="13"/>
  <c r="F36" i="13"/>
  <c r="F37" i="13"/>
  <c r="F38" i="13"/>
  <c r="F39" i="13"/>
  <c r="F40" i="13"/>
  <c r="D45" i="13"/>
  <c r="F45" i="13"/>
  <c r="D46" i="13"/>
  <c r="F46" i="13"/>
  <c r="D48" i="13"/>
  <c r="F48" i="13"/>
  <c r="D50" i="13"/>
  <c r="F50" i="13"/>
  <c r="D52" i="13"/>
  <c r="F52" i="13"/>
  <c r="D53" i="13"/>
  <c r="F53" i="13"/>
  <c r="F55" i="13"/>
  <c r="F56" i="13"/>
  <c r="F57" i="13"/>
  <c r="F62" i="13"/>
  <c r="F63" i="13"/>
  <c r="F79" i="13"/>
  <c r="F68" i="13"/>
  <c r="F69" i="13"/>
  <c r="F70" i="13"/>
  <c r="F41" i="13"/>
  <c r="F77" i="13"/>
  <c r="F71" i="13"/>
  <c r="F80" i="13"/>
  <c r="F58" i="13"/>
  <c r="F78" i="13"/>
  <c r="F81" i="13"/>
  <c r="F232" i="25" l="1"/>
  <c r="F427" i="25" s="1"/>
  <c r="F44" i="25"/>
  <c r="F420" i="25" s="1"/>
  <c r="D69" i="25"/>
  <c r="F69" i="25" s="1"/>
  <c r="F70" i="25" s="1"/>
  <c r="F421" i="25" s="1"/>
  <c r="F208" i="25"/>
  <c r="F426" i="25" s="1"/>
  <c r="F18" i="25"/>
  <c r="F419" i="25" s="1"/>
  <c r="F356" i="25"/>
  <c r="F430" i="25" s="1"/>
  <c r="F102" i="25"/>
  <c r="F422" i="25" s="1"/>
  <c r="F291" i="25"/>
  <c r="F429" i="25" s="1"/>
  <c r="F264" i="25"/>
  <c r="F428" i="25" s="1"/>
  <c r="F138" i="25"/>
  <c r="F423" i="25" s="1"/>
  <c r="F169" i="25"/>
  <c r="F424" i="25" s="1"/>
  <c r="F412" i="25"/>
  <c r="F432" i="25" s="1"/>
  <c r="F433" i="25" l="1"/>
  <c r="H5" i="34" s="1"/>
  <c r="F434" i="25" l="1"/>
  <c r="F435" i="25" l="1"/>
  <c r="H6" i="34"/>
  <c r="H7" i="34" s="1"/>
  <c r="H8" i="34" l="1"/>
  <c r="H9" i="34" s="1"/>
</calcChain>
</file>

<file path=xl/sharedStrings.xml><?xml version="1.0" encoding="utf-8"?>
<sst xmlns="http://schemas.openxmlformats.org/spreadsheetml/2006/main" count="1122" uniqueCount="627">
  <si>
    <t>Ureditev planuma temeljnih tal vezljive in nevezljive zrnate zemljine 3. kategorije.</t>
  </si>
  <si>
    <t>Izdelava posteljice iz mešanih kamnitih zrn zrnavosti od 0 do 32mm, v debelini 30cm z dobavo, raztiranjem, planiranjem in komprimiranjem.</t>
  </si>
  <si>
    <t>Izdelava obrabne in zaporne plasti bitumenskega betona BB 11K s iz zmesi zrn iz karbonatnih kamnin in cestnogradbenega bitumna in valjanjem do točnisti +-  10mm, v debelini 50 mm.</t>
  </si>
  <si>
    <t>Geomehanski nadzor.</t>
  </si>
  <si>
    <t>Projektantski nadzor.</t>
  </si>
  <si>
    <t>1. PREDDELA</t>
  </si>
  <si>
    <t xml:space="preserve">enota </t>
  </si>
  <si>
    <t>količina</t>
  </si>
  <si>
    <t>cena/enoto</t>
  </si>
  <si>
    <t>cena skupaj</t>
  </si>
  <si>
    <t>1.1</t>
  </si>
  <si>
    <t>Geodetska dela</t>
  </si>
  <si>
    <t>1.1.1</t>
  </si>
  <si>
    <t>kos</t>
  </si>
  <si>
    <t>1.1.2</t>
  </si>
  <si>
    <t>1. Preddela skupaj</t>
  </si>
  <si>
    <t xml:space="preserve">2. ZEMELJSKA DELA </t>
  </si>
  <si>
    <t>2.1</t>
  </si>
  <si>
    <t>Izkopi</t>
  </si>
  <si>
    <t>2.1.1</t>
  </si>
  <si>
    <t>m3</t>
  </si>
  <si>
    <t>2.2.1</t>
  </si>
  <si>
    <t>m2</t>
  </si>
  <si>
    <t>2.3</t>
  </si>
  <si>
    <t>Nasipi, zasipi, klini, posteljica in glinasti naboj</t>
  </si>
  <si>
    <t>2.3.1</t>
  </si>
  <si>
    <t>2.3.2</t>
  </si>
  <si>
    <t>Tesarska dela</t>
  </si>
  <si>
    <t>2. Zemeljska dela skupaj</t>
  </si>
  <si>
    <t>3.1</t>
  </si>
  <si>
    <t>3.1.1</t>
  </si>
  <si>
    <t>m</t>
  </si>
  <si>
    <t>3.1.2</t>
  </si>
  <si>
    <t>3.2</t>
  </si>
  <si>
    <t>Jaški</t>
  </si>
  <si>
    <t>3.2.1</t>
  </si>
  <si>
    <t>3.2.2</t>
  </si>
  <si>
    <t>3.2.4</t>
  </si>
  <si>
    <t>4.1</t>
  </si>
  <si>
    <t>4.1.1</t>
  </si>
  <si>
    <t>ur</t>
  </si>
  <si>
    <t>1. Preddela</t>
  </si>
  <si>
    <t>2. Zemeljska dela</t>
  </si>
  <si>
    <t>3.1.3</t>
  </si>
  <si>
    <t>3.2.3</t>
  </si>
  <si>
    <t>4.1.2</t>
  </si>
  <si>
    <t>Snemanje novozgrajene kanalizacije s TV kontrolnim sistemom.</t>
  </si>
  <si>
    <t>5.1</t>
  </si>
  <si>
    <t>5.1.1</t>
  </si>
  <si>
    <t>1.2</t>
  </si>
  <si>
    <t>Čiščenje terena</t>
  </si>
  <si>
    <t>Ostala preddela</t>
  </si>
  <si>
    <t>2.1.2</t>
  </si>
  <si>
    <t>Nasipi, zasipi, klini, posteljica in glinasti nabo</t>
  </si>
  <si>
    <t>3.1.4</t>
  </si>
  <si>
    <t>3.1.5</t>
  </si>
  <si>
    <t xml:space="preserve">Dela s cementnim betonom </t>
  </si>
  <si>
    <t>Dobava in vgraditev podložnega cementnega betona C8/10, X0 v prerez do 0,15 m3/m2 (d=10cm, temelji zidu).</t>
  </si>
  <si>
    <t>Dobava in vgraditev podložnega cementnega betona C8/10, X0 v prerez do 0,15 m3/m2 (d=6cm, zaledna drenaža).</t>
  </si>
  <si>
    <t>3.2.5</t>
  </si>
  <si>
    <t>3.3</t>
  </si>
  <si>
    <t>Dela s cementnim betonom - Drenažni beton</t>
  </si>
  <si>
    <t>3.3.1</t>
  </si>
  <si>
    <t>Dobava in vgradnja drenažnega betona C12/15, XC3, XF3, PV-I, prereza od 0,16 do 0,30 m3/m2,m1 (drenažni beton za zidom).</t>
  </si>
  <si>
    <t>3.4</t>
  </si>
  <si>
    <t>Dela z jeklom za ojačitev</t>
  </si>
  <si>
    <t>3.4.1</t>
  </si>
  <si>
    <t>kg</t>
  </si>
  <si>
    <t>3.4.2</t>
  </si>
  <si>
    <t>3.5</t>
  </si>
  <si>
    <t>Hidroizolacije</t>
  </si>
  <si>
    <t>3.5.1</t>
  </si>
  <si>
    <t>Izdelava enoslojne vertikalne in horizontalne hidroizolacije iz APP bitumenskih trakov d=5mm varjenih po stikih, vključno s predhodnim premazom s hladno bitumensko emulzijo (poraba 0,21 do 0,3 kg/m2). Izvedba po detajlu.</t>
  </si>
  <si>
    <t>4.2</t>
  </si>
  <si>
    <t>4.2.1</t>
  </si>
  <si>
    <t>4.2.2</t>
  </si>
  <si>
    <t>4.3</t>
  </si>
  <si>
    <t>4.3.1</t>
  </si>
  <si>
    <t>Robni elementi tlakovanih površin</t>
  </si>
  <si>
    <t>m1</t>
  </si>
  <si>
    <t>5.2</t>
  </si>
  <si>
    <t>Tlakovane obrabne plasti</t>
  </si>
  <si>
    <t>5.2.1</t>
  </si>
  <si>
    <t>5.2.2</t>
  </si>
  <si>
    <t>5.3</t>
  </si>
  <si>
    <t>Brežine in zelenice</t>
  </si>
  <si>
    <t>5.3.1</t>
  </si>
  <si>
    <t>Doplačilo za zatravitev s semenom</t>
  </si>
  <si>
    <t>5.4</t>
  </si>
  <si>
    <t>5.4.1</t>
  </si>
  <si>
    <t>5. Končna ureditev površin grobnih polj in ostala oprema skupaj</t>
  </si>
  <si>
    <t>6.1</t>
  </si>
  <si>
    <t>6.1.1</t>
  </si>
  <si>
    <t>6.2</t>
  </si>
  <si>
    <t>6.2.1</t>
  </si>
  <si>
    <t>8.1.1</t>
  </si>
  <si>
    <t>SKUPAJ: Grobno polje</t>
  </si>
  <si>
    <t>Postavka</t>
  </si>
  <si>
    <t>22% DDV</t>
  </si>
  <si>
    <t>Postavitev in zavarovanje profilov za zakoličbo objekta s površino nad  100 m2  (zakoličba izkopa grobnega polja).</t>
  </si>
  <si>
    <t>Posek in odstranitev grmovja in dreves z debli premera do 10cm, skupaj s panji, in odvozom na trajno deponijo do 5km, vključno s stroški deponiranja.</t>
  </si>
  <si>
    <t>Posek in odstranitev dreves z debli premera 11 do 30cm, skupaj s panji, in odvozom na trajno deponijo do 5km, vključno s stroški deponiranja.</t>
  </si>
  <si>
    <t>Površinski izkop plodne zemljine 1. kategorije - strojno z odrivom do 100 m.</t>
  </si>
  <si>
    <t>Ureditev začasne deponije za odlaganje viškov izkopov zemljine ob gradbišču, vključujoč razprostiranje in planiranje viškov materiala po končanem odlaganju.</t>
  </si>
  <si>
    <t>Izdelava in montaža vroče cinkane in barvane ograje, po obstoječem vzorcu (ograja na AB podpornem zidu).</t>
  </si>
  <si>
    <t>Izdelava geodetskega posnetka obstoječega terena pred izvedbo izkopov in po izvedbi izkopov ter po zasipu.</t>
  </si>
  <si>
    <t>5.4.2</t>
  </si>
  <si>
    <t>5.4.3</t>
  </si>
  <si>
    <t>Izdelava podprtega opaža za ravne temelje (temelji).</t>
  </si>
  <si>
    <t>Izdelava podprtega opaža za raven zid, visok 2,1 do 4 m (opaž drenažnega betona za podpornim zidom).</t>
  </si>
  <si>
    <t>Doplačilo za posnetje robov vidne površine cementnega betona (robovi na kroni podpornega zidu).</t>
  </si>
  <si>
    <t>Dobava in vgraditev cementnega betona C25/30 (XC4;XD3;PVII)  v prerez nad 0,50 m3/m2-m1 (temelji zidu).</t>
  </si>
  <si>
    <t>Izdelava ločilne plasti iz trdih penastih plošč debelih 2cm - v dilatacijah zidu.</t>
  </si>
  <si>
    <t>Dobava in postavitev rebrastih palic iz visokovrednega naravno trdega jekla B St 500 S s premerom 14 mm in večjim, za srednje zahtevno ojačitev (temelj zidu, stene zidu).</t>
  </si>
  <si>
    <t>Dobava in postavitev rebrastih žic iz visokovrednega naravno trdega jekla B St 500 S s premerom do 12 mm, za srednje zahtevno ojačitev (temelj zidu, stene zidu).</t>
  </si>
  <si>
    <t>Dobava in postavitev mreže iz vlečene jeklene žice B500B, s premerom &gt; od 4 in &lt; od 12 mm, masa nad 6 kg/m2  (mreža Q503 - temelj zidu, stene zidu).</t>
  </si>
  <si>
    <t>Dobava in postavitev mreže iz vlečene jeklene žice B500B, s premerom &gt; od 4 in &lt; od 12 mm, masa nad 4 do 6 kg/m2  (mreža Q283 - temelj zidu, stene zidu).</t>
  </si>
  <si>
    <t>Izdelava podprtega opaža za bočne stranice ravnih plošč (povezovalna betonska plošča grobnih polj).</t>
  </si>
  <si>
    <t>Izdelava obrabne plasti iz cementnih plošč velikosti 40/40cm in položenih v malto.</t>
  </si>
  <si>
    <t>Izdelava obrabne plasti iz cementnih plošč velikosti 40/40cm in položenih na pesek, stiki zapolnjeni s peskom.</t>
  </si>
  <si>
    <t>Nabava in zasaditev grmovnic nizke rasti, nezahtevnih za urejanje, postavka vključuje nabavo, transport, zasaditev grmovnic in pripravo površin za saditev.</t>
  </si>
  <si>
    <t>Dobava in vgraditev geotekstilije (300 g/m2) za ločilno plast pod drenažnim slojem na področju širokega izkopa grobnega polja, natezna trdnost 10 kN/m.</t>
  </si>
  <si>
    <t>Dobava in vgradnja drenažnega sloja v debelini 0,3m iz kamnitega agregata zrnavosti od 16 do 63mm, skupaj z dobavo, raztiranjem in statičnim uvaljanjem.</t>
  </si>
  <si>
    <t>Dobava in vgraditev geotekstilije (150 g/m2), efektivna odprtina por 0,06 &lt; 0,90 &lt; 0,12 mm, natezna trdnost 5 kN/m (1. sloj).</t>
  </si>
  <si>
    <t>Dobava in vgraditev geotekstilije (150 g/m2), efektivna odprtina por 0,06 &lt; 0,90 &lt; 0,12 mm, natezna trdnost 5 kN/m (2. sloj).</t>
  </si>
  <si>
    <t>Zasip z zrnato kamnino 4. kategorije (izkopni material z lokacije, kose laporja in peščenjaka velikosti nad 10 cm se odstrani) strojno v plasteh po 30 cm, s sprotnim zgoščevanjem (skupna debelina 60cm).</t>
  </si>
  <si>
    <t>Izdelava izravnalne plasti iz drobljenca v povprečni debelini 16 do 20 cm (tampon debeline 20cm).</t>
  </si>
  <si>
    <t>Dobava in vgraditev predfabriciranega robnika iz cementnega betona s prerezom 10/25/100cm, na podložni plasti podložnega betona C8/10, debeline 20 cm (robniki za ločitev zelenice in grobnih polj).</t>
  </si>
  <si>
    <t>Ostala oprema grobnih polj</t>
  </si>
  <si>
    <t>4.4</t>
  </si>
  <si>
    <t>4.4.1</t>
  </si>
  <si>
    <t>Humuziranje brežin in zelenic brez valjanja, v debelini do 15 cm - strojno.</t>
  </si>
  <si>
    <t>4.4.2</t>
  </si>
  <si>
    <t>4.5</t>
  </si>
  <si>
    <t>4.5.1</t>
  </si>
  <si>
    <t>Dobava in vgradnja predfabriciranega betonskega jaška 60×60×80cm s pokrovom.</t>
  </si>
  <si>
    <t>Enota</t>
  </si>
  <si>
    <t>Količina</t>
  </si>
  <si>
    <t>Cena</t>
  </si>
  <si>
    <t>Skupaj</t>
  </si>
  <si>
    <t>Zemeljska dela</t>
  </si>
  <si>
    <t>Ureditev planuma temeljnih tal mehke kamnine – 4. kategorije.</t>
  </si>
  <si>
    <t>Globinsko odvodnjavanje - drenaže</t>
  </si>
  <si>
    <t>Globinsko odvodnjavanje - kanalizacija</t>
  </si>
  <si>
    <t>Čiščenje in izpiranje kanala.</t>
  </si>
  <si>
    <t>Tuje storitve</t>
  </si>
  <si>
    <t>Izdelava projektne dokumentacije PID in POV.</t>
  </si>
  <si>
    <t>7.2.1</t>
  </si>
  <si>
    <t>7.2.2</t>
  </si>
  <si>
    <t>SKUPAJ Z DDV</t>
  </si>
  <si>
    <t>Postavitev in zavarovanje prečnega profila poti.</t>
  </si>
  <si>
    <t>Dobava in vgraditev cementnega betona C25/30 (XC4;XD3;PVII; zahteve za vidni beton: VB2; P2; T2; C2) v prerez 0,16 do 0,30 m3/m2-m1 (stene zidu).</t>
  </si>
  <si>
    <t>10. Tuje storitve</t>
  </si>
  <si>
    <t>9.1.1</t>
  </si>
  <si>
    <t>10.0</t>
  </si>
  <si>
    <t>10.1. PRESKUSI, NADZOR IN TEHNIČNA DOKUMENTACIJA</t>
  </si>
  <si>
    <t>10.1.1</t>
  </si>
  <si>
    <t>10.1.2</t>
  </si>
  <si>
    <t>10.1.3</t>
  </si>
  <si>
    <t>10. Tuje storitve skupaj</t>
  </si>
  <si>
    <t>Faza 4</t>
  </si>
  <si>
    <t>Postavitev in zavarovanje profilov za zakoličbo objekta   (zakoličba izkopa za temelje žarnega zidu).</t>
  </si>
  <si>
    <t>Postavitev in zavarovanje profilov za zakoličbo objekta (zakoličba žarnega zidu).</t>
  </si>
  <si>
    <t>Izkop vezljive in nevezljive zemljine 3. kategorije, strojno z nakladanjem - postavka vključuje prevoz na začasno deponijo do 200m in razprostriranje materiala (temelji žarnega zidu).</t>
  </si>
  <si>
    <t>Izdelava izravnalne plasti iz drobljenca frakcije 8/16  v povprečni debelini do 10 cm (podlaga za polaganje  cementnih plošč).</t>
  </si>
  <si>
    <t xml:space="preserve">3. AB ŽARNI ZID </t>
  </si>
  <si>
    <t>Izdelava dvostranskega vezanega opaža za raven zid, visok do 2,1 m (stene zidu).</t>
  </si>
  <si>
    <t>Izdelava premičnega odra, visokega do 1,5 m.</t>
  </si>
  <si>
    <t>Dobava in postavitev rebrastih palic iz visokovrednega naravno trdega jekla B St 500 S s premerom nad 12 mm in večjim, za srednje zahtevno ojačitev (temelj zidu, stene zidu).</t>
  </si>
  <si>
    <t>3. AB žarni zid skupaj</t>
  </si>
  <si>
    <t>Obrtniška dela</t>
  </si>
  <si>
    <t xml:space="preserve">Dobava in obloga AB zidu s kamnitimi ploščami brušen repen različnih širin, višine 60 cm, deb. 3 cm, s posnetim robom, na vezivo in RF sidra (poraba sider 6 kos/m2). </t>
  </si>
  <si>
    <t>Doplačilo na postavko b-1/5, za montažo stenskih dekorativnih elementov, v kamniti stenski oblogi, špičen repen prereza 6/5-6 cm in dolžine 60 cm v enem kosu, brez posnetih robov</t>
  </si>
  <si>
    <t>4. EKOLOŠKI OTOK</t>
  </si>
  <si>
    <t>Izdelava dvostranskega vezanega opaža za raven temelj (ekološki otok)</t>
  </si>
  <si>
    <t>Izdelava dvostranskega vezanega opaža za raven zid (ekološki otok)</t>
  </si>
  <si>
    <t>Dobava in vgraditev cementnega betona C25/30 (XC4;XD3;PVII) v prerez 0,16 do 0,30 m3/m2-m1 (temelj zidu)</t>
  </si>
  <si>
    <t>Dela s cementnim betonom - Vidni beton</t>
  </si>
  <si>
    <t xml:space="preserve">Dobava in postavitev rebrastih žic iz visokovrednega naravno trdega jekla B St 500 S s premerom do 12 mm, za srednje zahtevno ojačitev </t>
  </si>
  <si>
    <t xml:space="preserve">Dobava in postavitev rebrastih palic iz visokovrednega naravno trdega jekla B St 500 S s premerom 14 mm in večjim, za srednje zahtevno ojačitev </t>
  </si>
  <si>
    <t>Ostala oprema ekološkega otoka</t>
  </si>
  <si>
    <t>Nabava in postavitev pergole ekološkega otoka iz vročecinkanih jeklenih profilov (tlorisna površina  š×g: 2,70×2,30m) (ocena 2000€/kos)</t>
  </si>
  <si>
    <t>Nabava in postavitev klopi iz vročecinkane jeklene konstrukcije z lamelami iz borovega lesa za pritrditev v tla (mere v×š×g: 750×1500×800mm)</t>
  </si>
  <si>
    <t>4.5.3</t>
  </si>
  <si>
    <t>Nabava in postavitev vodnjaka izdelanega iz drobnozrnatih granitnih in marmornih drobljencev (mere v×š×g: 126×75×75mm)</t>
  </si>
  <si>
    <t>4. Ekološki otok skupaj</t>
  </si>
  <si>
    <r>
      <t>m</t>
    </r>
    <r>
      <rPr>
        <vertAlign val="superscript"/>
        <sz val="10"/>
        <rFont val="Arial"/>
        <family val="2"/>
        <charset val="238"/>
      </rPr>
      <t>2</t>
    </r>
  </si>
  <si>
    <r>
      <t>m</t>
    </r>
    <r>
      <rPr>
        <vertAlign val="superscript"/>
        <sz val="10"/>
        <rFont val="Arial"/>
        <family val="2"/>
        <charset val="238"/>
      </rPr>
      <t>3</t>
    </r>
  </si>
  <si>
    <t>4.5.2</t>
  </si>
  <si>
    <t>Dobava in vgraditev cementnega betona C25/30 (XC4;XD3;PVII, zahteve za vidni beton: VB2; P2; T2; C2)  v prerez nad 0,50 m3/m2-m1) v prerez 0,16 do 0,30 m3/m2-m1 (stene zidu)</t>
  </si>
  <si>
    <t>3. AB žarni zid</t>
  </si>
  <si>
    <t>4. Ekološki otok</t>
  </si>
  <si>
    <t xml:space="preserve">5. KONČNA UREDITEV POVRŠIN </t>
  </si>
  <si>
    <t xml:space="preserve">5. Končna ureditev površin </t>
  </si>
  <si>
    <t xml:space="preserve">Dobava in vgradnja filterskega sloja v debelini 20 cm iz kamnitega agregata zrnavosti od 3 do 6mm, skupaj z dobavo, raztiranjem in statičnim uvaljanjem. </t>
  </si>
  <si>
    <t>SKUPAJ: Faza 2</t>
  </si>
  <si>
    <t>Cena [ EUR ]</t>
  </si>
  <si>
    <t>SKUPAJ:</t>
  </si>
  <si>
    <t>EUR</t>
  </si>
  <si>
    <t xml:space="preserve">Ločilne, drenažne in filtrske plasti ter delovni plato </t>
  </si>
  <si>
    <t>6.3</t>
  </si>
  <si>
    <t>6.2.2</t>
  </si>
  <si>
    <t>6.2.3</t>
  </si>
  <si>
    <t>6.2.4</t>
  </si>
  <si>
    <t>6.3.1</t>
  </si>
  <si>
    <t>4.1.3</t>
  </si>
  <si>
    <t>Dobava in postavitev rebrastih palic iz visokovrednega naravno trdega jekla B St 500 S s premerom do 12 mm, za srednje zahtevno ojačitev (temelj zidu, stene zidu).</t>
  </si>
  <si>
    <t>8.2.1</t>
  </si>
  <si>
    <t>8.2.2</t>
  </si>
  <si>
    <t>10.2.1</t>
  </si>
  <si>
    <t>10.2.2</t>
  </si>
  <si>
    <t>Obrabne plasti</t>
  </si>
  <si>
    <t>Odstranitev oz. prestavitev obstoječe žične ograje višine 2m</t>
  </si>
  <si>
    <t>Izdelava dvostranskega vezanega opaža za raven temelj.</t>
  </si>
  <si>
    <t>Dobava in vgraditev cementnega betona C30/37 (XC4;XD1;PVII)  v prerez nad 0,50 m3/m2-m1 (temelji zidu).</t>
  </si>
  <si>
    <t>Dobava in vgraditev cementnega betona C30/37 (XC4;XD1;PVII; zahteve za vidni beton: VB2; P2; T2; C2) v prerez 0,16 do 0,30 m3/m2-m1 (stene zidu).</t>
  </si>
  <si>
    <t>Dobava in vgraditev cementnega betona C30/37 (XC4;XD1;PVII)  v prerez  0,16 do 0,30 m3/m2-m1  (temelji za spominske plošče).</t>
  </si>
  <si>
    <t>Dobava in vgraditev cementnega betona C30/37 (XC4;XD3;PVII)  v prerez do 0,15 m3/m2-m1  (povezovalna betonska plošča grobnih polj).</t>
  </si>
  <si>
    <t>Dobava in postavitev rebrastih palic iz visokovrednega naravno trdega jekla B St 500 S s premerom do 12 mm, za srednje zahtevno ojačitev (temelj grobnih polj).</t>
  </si>
  <si>
    <t>7.2</t>
  </si>
  <si>
    <t>Dobava in zasaditev visoko piramidastih vednozelenih cipres (Cipressus sempervirens) višine cca 2,0 m</t>
  </si>
  <si>
    <t>Ureditev planuma temeljnih tal mehke kamnine – 4. kategorije (po projektiranem padcu)</t>
  </si>
  <si>
    <t>6.1.2</t>
  </si>
  <si>
    <t>7.1.1</t>
  </si>
  <si>
    <t>Izdelava dvostranskega vezanega opaža za raven zid, visok 4,1 do 6 m (stene zidu).</t>
  </si>
  <si>
    <t>Dobava in vgraditev cementnega betona C30/37 (XC4;XD3;PVII)  v prerez do 0,15 m3/m2-m1  (betonski grobni okvir).</t>
  </si>
  <si>
    <t>5.4.4</t>
  </si>
  <si>
    <t>4.2.3</t>
  </si>
  <si>
    <t>4.2.4</t>
  </si>
  <si>
    <t>7.1</t>
  </si>
  <si>
    <t>7.3</t>
  </si>
  <si>
    <t>7.3.1</t>
  </si>
  <si>
    <t>Široki izkop vezljive in nevezljive zemljine 3. kategorije, strojno z nakladanjem - postavka vključuje prevoz na začasno deponijo do 200m in razprostriranje materiala (grobno polje, temelji podpornega zidu, dostopne poti).</t>
  </si>
  <si>
    <t>Ločilne, drenažne in filtrske plasti ter delovni plato (Grobno polje GP8a in 8b)</t>
  </si>
  <si>
    <t>Široki izkop vezljive in nevezljive zemljine 4. kategorije, strojno z nakladanjem - postavka vključuje prevoz na začasno deponijo do 200m in razprostriranje materiala (grobno polje, temelji podpornega zidu, dostopne poti).</t>
  </si>
  <si>
    <t>Dobava in vgradnja marmornatega peska granulacije od 7 do 10mm, položenega znotraj grobnih polj v debelini 10cm.</t>
  </si>
  <si>
    <t>Prevozi, razprostiranje in ureditev deponij materiala</t>
  </si>
  <si>
    <t>2.4</t>
  </si>
  <si>
    <t>2.4.1</t>
  </si>
  <si>
    <t>Obdelava površine z zaribanim cementnim obrizgom videnga dela podpornega zidu</t>
  </si>
  <si>
    <t>ETAPA 5 - GROBNO POLJE GP6</t>
  </si>
  <si>
    <t>ETAPA 5 - Rekapitulacija:</t>
  </si>
  <si>
    <t>SKUPAJ: ETAPA 5 (brez DDV):</t>
  </si>
  <si>
    <t>Dobava in postavitev mreže iz vlečene jeklene žice B500B, s premerom &gt; od 4 in &lt; od 12 mm, masa 2,1 do 3 kg/m2; Q189.</t>
  </si>
  <si>
    <t>Izdelava hidroizolacije na dilataciji - hidroizolacijski trak,širine 1 m</t>
  </si>
  <si>
    <t>Dobava in postavitev mreže iz vlečene jeklene žice B500B, s premerom &gt; od 4 in &lt; od 12 mm, masa 2,1 do 3 kg/m2; Q189 (plošča grobnih polj).</t>
  </si>
  <si>
    <t>Nabava in zasaditev grmovnic nizke rasti, nezahtevnih za urejanje, postavka vključuje nabavo, transport, zasaditev grmovnic in pripravo površin za saditev, v koritu podpornega zidu.</t>
  </si>
  <si>
    <t>Izdelava izcednice (barbakane) iz gibljive plastične cevi, premera 8 cm, dolžine do 50 cm v koritu podpornega zidu s horizontalnim zamikom; cev fi75mm, vsake 3 m.</t>
  </si>
  <si>
    <t>Dobava in vgradnja kamnite kape zidu, širine 40cm (na kroni obodnega zidu).</t>
  </si>
  <si>
    <t>Nabava in postavitev pergole ekološkega otoka iz vročecinkanih jeklenih profilov (po načrtu)</t>
  </si>
  <si>
    <t>Izdelava izravnalne plasti iz drobljenca v povprečni debelini 16 do 20 cm
(tampon debeline 20cm)</t>
  </si>
  <si>
    <t>Obdelava površine z zaribanim cementnim obrizgom vidnega dela podpornega zidu</t>
  </si>
  <si>
    <t>Kanalizacija</t>
  </si>
  <si>
    <t>Dobava in vgradnja humusa v koritu podpornih zidov</t>
  </si>
  <si>
    <r>
      <t>Filtrski zasip iz drenažnega prodca, obvito z geosintetikom, z 0,21 do 0,4 m</t>
    </r>
    <r>
      <rPr>
        <vertAlign val="superscript"/>
        <sz val="10"/>
        <rFont val="Arial"/>
        <family val="2"/>
        <charset val="238"/>
      </rPr>
      <t>3</t>
    </r>
    <r>
      <rPr>
        <sz val="10"/>
        <rFont val="Arial"/>
        <family val="2"/>
        <charset val="238"/>
      </rPr>
      <t>/m</t>
    </r>
    <r>
      <rPr>
        <vertAlign val="superscript"/>
        <sz val="10"/>
        <rFont val="Arial"/>
        <family val="2"/>
        <charset val="238"/>
      </rPr>
      <t>1</t>
    </r>
    <r>
      <rPr>
        <sz val="10"/>
        <rFont val="Arial"/>
        <family val="2"/>
        <charset val="238"/>
      </rPr>
      <t>, po načrtu (z drobljencem</t>
    </r>
    <r>
      <rPr>
        <sz val="10"/>
        <color indexed="10"/>
        <rFont val="Arial"/>
        <family val="2"/>
        <charset val="238"/>
      </rPr>
      <t xml:space="preserve"> </t>
    </r>
    <r>
      <rPr>
        <sz val="10"/>
        <rFont val="Arial"/>
        <family val="2"/>
        <charset val="238"/>
      </rPr>
      <t>8/16</t>
    </r>
    <r>
      <rPr>
        <sz val="10"/>
        <color indexed="10"/>
        <rFont val="Arial"/>
        <family val="2"/>
        <charset val="238"/>
      </rPr>
      <t xml:space="preserve"> </t>
    </r>
    <r>
      <rPr>
        <sz val="10"/>
        <rFont val="Arial"/>
        <family val="2"/>
        <charset val="238"/>
      </rPr>
      <t>mm v sloju debeline 15 cm)</t>
    </r>
  </si>
  <si>
    <t>Izvedba betonske mulde v koritu podpornih zidov iz  cementnega betona C8/10 (po načrtu)</t>
  </si>
  <si>
    <t>Izdelava kanalizacije iz cevi iz polivinilklorida, vključno z vgradnjo odgovarjajočih lokov, čistilnih kosov, odcepov in spojev s podložno plastjo iz zmesi kamnitih zrn, premera 110 mm, v globini do 1,0 m
*odtok lijaka</t>
  </si>
  <si>
    <t>Izdelava vzdolžne in prečne drenaže, globoke do 1,0 m, na peščenem zasipu debeline 10 cm, z gibljivimi plastičnimi cevmi premera 20 cm. 
*PEHD cevi, 220°; drenažne cevi dostopna pot</t>
  </si>
  <si>
    <t>9.2.1</t>
  </si>
  <si>
    <t>9.2.2</t>
  </si>
  <si>
    <r>
      <t xml:space="preserve">Dobava in montaža revizijskega jaška iz armiranih  poliesterskih cevi GRP DN 1200 mm SN 10000N/m2, </t>
    </r>
    <r>
      <rPr>
        <sz val="10"/>
        <rFont val="Arial"/>
        <family val="2"/>
        <charset val="238"/>
      </rPr>
      <t>globine nad 2,5 m z že privarjeno talno ploščo iz poliestra, pripravljenim vtočnim in iztočnim priključkom. Spuščanje in polaganje v zemeljski jarek na podložni beton C12/15, izdelavo mulde v dnu jaška ter izdelavo in položitvijo AB venca, LTŽ pokrov 600 mm - B125</t>
    </r>
  </si>
  <si>
    <t>9.4.1</t>
  </si>
  <si>
    <t>Izdelava kanalizacije iz cevi iz polivinilklorida, vključno z vgradnjo odgovarjajočih lokov, odcepov in spojev, vključno s podložno plastjo iz zmesi kamnitih zrn, premera 20 cm, v globini do 1,0 m
*Ustrezen obsip cevi s prodno peščenim materialom d=8-32 mm (po detajlu); dostopna pot</t>
  </si>
  <si>
    <t xml:space="preserve">Naprava tipskih uličnih požiralnikov fi 400 iz PE materiala položenim na podl. beton C12/15 deb. 10 cm in AB vencem C25/30 pod asfaltom deb. 15 cm. Globina usedalnega dela je vsaj 0.50 m. LŽ rešetka 300x300 mm, B125. Vse po detajlih v projektu. Zajeti je tudi priključek odvodne cevi in zatesnitve. Obračun po 1 kom kompletnega požiralnika. </t>
  </si>
  <si>
    <t>Dela s cementnim betonom - drenažni beton</t>
  </si>
  <si>
    <t>Dobava in vgradnja drenažnega betona C12/15, XC3, XF3, PV-I, prereza od 0,16 do 0,30 m3/m2,m1 (drenažni beton pod dostopno potjo).</t>
  </si>
  <si>
    <t>Izdelava obrabne plasti iz cementnih plošč velikosti 40/40cm in položenih na sloj finega peska, v debelini 5 cm.</t>
  </si>
  <si>
    <t>Izdelava obrabne plasti iz cementnih plošč velikosti 40/40cm in položenih na sloj finega peska, v debelini 5cm.</t>
  </si>
  <si>
    <t>Dobava in vgraditev podložnega cementnega betona C8/10, X0 v prerez do 0,15 m3/m2 (d=10cm, temelji ekološkega otoka).</t>
  </si>
  <si>
    <r>
      <t>Izdelava vzdolžne in prečne drenaže za podpornim zidom, vključno z vgradnjo odgovarjajočih lokov, odcepov in spojev, s cevmi premera 16cm.
*PVC drenažne cevi perforirane 220</t>
    </r>
    <r>
      <rPr>
        <sz val="10"/>
        <rFont val="Calibri"/>
        <family val="2"/>
        <charset val="238"/>
      </rPr>
      <t>°</t>
    </r>
  </si>
  <si>
    <r>
      <t>Izdelava vzdolžne in prečne drenaže, globoke do 1,0 m, vključno z vgradnjo odgovarjajočih lokov, odcepov in spojev, na peščenem zasipu debeline 10 cm, s trdimi plastičnimi cevmi premera 16 cm. (TŽG drenaža)
PVC cevi; perfofirane 220</t>
    </r>
    <r>
      <rPr>
        <sz val="10"/>
        <rFont val="Calibri"/>
        <family val="2"/>
        <charset val="238"/>
      </rPr>
      <t>°</t>
    </r>
  </si>
  <si>
    <t>Dobava peščenega agregata frakcije 0-16 mm in izdelava temeljne plasti posteljice deb. 10-15 cm, s planiranjem in strojnim utrjevanjem do 95 % po standardnem Proktorjevem postopku. Natančnost izdelave posteljice je +/- 1 cm. Obračun za 1 m3.
*Posteljica drenažnih cevi pod TŽG</t>
  </si>
  <si>
    <t>Dobava peščenega agregata frakcije 8-32mm in obsip položenih drenažnih cevi do višine 30cm nad temenom. Drenažni sloj oviti v filc politlak 200. Na peščeno posteljico se izdela 3-5 cm debel nasip v katerega si cev izdela ležišče
*Obsib drenažnih cevi pod TŽG</t>
  </si>
  <si>
    <t>Zaščitna dela in hidroizolacije</t>
  </si>
  <si>
    <t>Zatesnitev dilatacijske rege s trajno elastično zmesjo za stike.</t>
  </si>
  <si>
    <t>Izdelava nepremičnega odra, visokega od 4,1 do 8 m.</t>
  </si>
  <si>
    <t>Izdelava dvostranskega vezanega opaža za temelje spominskih plošč in betonski grobni okvir.</t>
  </si>
  <si>
    <t>Izdelava dvostranskega vezanega opaža za ukrivljen temelj.</t>
  </si>
  <si>
    <t>Izdelava dvostranskega vezanega opaža za ukrivljen zid, visok 4,1 do 6 m (stene zidu).</t>
  </si>
  <si>
    <t>2.2</t>
  </si>
  <si>
    <t>5.2.3</t>
  </si>
  <si>
    <t>9.3.1</t>
  </si>
  <si>
    <t>Izdelava izravnalne plasti iz drobljenca v povprečni debelini od 16 do 20 cm (tampon debeline 20cm).</t>
  </si>
  <si>
    <t>Izdelava opaža korita pri podpornem zidu s horizontalnim zamikom</t>
  </si>
  <si>
    <t>Dobava peščenega agregata frakcije 0-16 mm in izdelava temeljne plasti posteljice deb. 10-15 cm, s planiranjem in strojnim utrjevanjem do 95 % po standardnem Proktorjevem postopku. Natančnost izdelave posteljice je +/- 1 cm. Obračun za 1 m3.
(Posteljica drenažnih cevi na dostopni poti.)</t>
  </si>
  <si>
    <t>Dobava peščenega agregata frakcije 8-32mm in obsip položenih drenažnih cevi do višine 30cm nad temenom. Drenažni sloj oviti v filc politlak 200. Na peščeno posteljico se izdela 3-5 cm debel nasip v katerega si cev izdela ležišče
(Obsip drenažnih cevi na dostopni poti.)</t>
  </si>
  <si>
    <t>Izdelava kanalizacije iz cevi iz polivinilklorida, vključno z vgradnjo odgovarjajočih lokov, odcepov in spojev, vključno s podložno plastjo iz zmesi kamnitih zrn, premera 16 cm, v globini do 1,0 m
*Ustrezen obsip cevi s prodno peščenim materialom d=8-32 mm (po detajlu); dostopna pot</t>
  </si>
  <si>
    <t>5.5</t>
  </si>
  <si>
    <t>5.5.1</t>
  </si>
  <si>
    <t>8.1</t>
  </si>
  <si>
    <t>9.1</t>
  </si>
  <si>
    <t>5.1.2</t>
  </si>
  <si>
    <t>5.1.3</t>
  </si>
  <si>
    <t>8.2</t>
  </si>
  <si>
    <t>8.3</t>
  </si>
  <si>
    <t>8.3.1</t>
  </si>
  <si>
    <t>4.2.5</t>
  </si>
  <si>
    <t>5.1.4</t>
  </si>
  <si>
    <t>5.1.5</t>
  </si>
  <si>
    <t>5.2.4</t>
  </si>
  <si>
    <t>5.2.5</t>
  </si>
  <si>
    <t>9.2</t>
  </si>
  <si>
    <t>9.3</t>
  </si>
  <si>
    <t>9.4</t>
  </si>
  <si>
    <t>11.1.1</t>
  </si>
  <si>
    <t>11.2.1</t>
  </si>
  <si>
    <t>11.2.2</t>
  </si>
  <si>
    <t>12.1.1</t>
  </si>
  <si>
    <t>13.1.1</t>
  </si>
  <si>
    <t>Dobava in vgradnja drenažnega sloja v debelini 0,3m iz kamnitega agregata zrnavosti od 16 do 63mm, skupaj z dobavo, raztiranjem in statičnim uvaljanjem.
*(območje talnih žarnih grobov)</t>
  </si>
  <si>
    <t>Dobava in vgradnja drenažnega sloja v debelini 0,5m iz kamnitega agregata zrnavosti od 16 do 63mm, skupaj z dobavo, raztiranjem in statičnim uvaljanjem.
*(območje klasičnih talnih grobov)</t>
  </si>
  <si>
    <t>Zasip z zrnato kamnino 4. kategorije (izkopni material z lokacije, kose laporja in peščenjaka velikosti nad 10 cm se odstrani) strojno v plasteh po 30 cm, s sprotnim zgoščevanjem
*(zasip grobnega polja skupaj z dostopno potjo; skupna debelina 160cm).</t>
  </si>
  <si>
    <t>Zasip z zrnato kamnino 4. kategorije (izkopni material z lokacije, kose laporja in peščenjaka velikosti nad 10 cm se odstrani) strojno v plasteh po 30 cm, s sprotnim zgoščevanjem
*(zasip grobnega polja talni žarnimi grobovi; skupna debelina 60cm).</t>
  </si>
  <si>
    <t>Izdelava glinastega naboja ob temeljih podpornega zidu v plasteh debeline do 30 cm 
*(na obeh staneh zidu; material iz lokacije)</t>
  </si>
  <si>
    <r>
      <t xml:space="preserve">Prevoz materiala na razdaljo 7000 do 10000 m na deponijo, razprostriranje materiala in ureditev deponije
</t>
    </r>
    <r>
      <rPr>
        <sz val="10"/>
        <rFont val="Arial"/>
        <family val="2"/>
        <charset val="238"/>
      </rPr>
      <t>*(upoštevana količina izkopnega materiala v raščenem stanju)</t>
    </r>
  </si>
  <si>
    <t>Izdelava izravnalne plasti iz drobljenca v povprečni debelini nad 20 cm *(tampon debeline 25cm; območje klasičnih talnih grobov).</t>
  </si>
  <si>
    <t>Izdelava izravnalne plasti iz drobljenca v povprečni debelini 16 do 20 cm
*(tampon debeline 20cm; območje talnih žarnih grobov)</t>
  </si>
  <si>
    <t>3.1.6</t>
  </si>
  <si>
    <t>Postavitev in zavarovanje profilov za zakoličbo objekta s površino nad  100 m2  (zakoličba severnega podpornega zidu 6a).</t>
  </si>
  <si>
    <t>Postavitev in zavarovanje profilov za zakoličbo objekta s površino nad  100 m2  (zakoličba podpornega zidu 6b).</t>
  </si>
  <si>
    <t>Postavitev in zavarovanje profilov za zakoličbo objekta s površino nad  100 m2  (zakoličba obodnega zidu).</t>
  </si>
  <si>
    <t>Postavitev in zavarovanje profilov za zakoličbo objekta s površino nad  100 m2  (zakoličba izkopa temeljev severnega podpornega zidu 6a).</t>
  </si>
  <si>
    <t>Postavitev in zavarovanje profilov za zakoličbo objekta s površino nad  100 m2  (zakoličba izkopa temeljev podpornega zidu 6b).</t>
  </si>
  <si>
    <t>Postavitev in zavarovanje profilov za zakoličbo objekta s površino nad  100 m2  (zakoličba izkopa temeljev obodnega zidu).</t>
  </si>
  <si>
    <t>Postavitev in zavarovanje profilov za zakoličbo objekta s površino nad  100 m2  (zakoličba dostopne poti 1b).</t>
  </si>
  <si>
    <t>Postavitev in zavarovanje profilov za zakoličbo objekta s površino nad  100 m2  (zakoličba grobnega polja).</t>
  </si>
  <si>
    <t xml:space="preserve">Dela z jeklom za ojačitev </t>
  </si>
  <si>
    <t>Zasip z zrnato kamnino 4. kategorije (izkopni material z lokacije, kose laporja in peščenjaka velikosti nad 10 cm se odstrani) strojno v plasteh po 30 cm, s sprotnim zgoščevanjem
*(zasip na drugi strani podpornega zidu GP6b).</t>
  </si>
  <si>
    <t>Izkop mehke kamnine – 4. kategorije za temelje, kanalske rove, prepuste, jaške in drenaže, širine do 1,0 m in globine do 1,0 m (izkop za globoko drenažo pod dostopno potjo 1b).</t>
  </si>
  <si>
    <t>Izdelava jaška iz cementnega betona, krožnega prereza s premerom 120 cm, globokega 2,0 do 2,5 m</t>
  </si>
  <si>
    <t>Dobava in vgraditev pokrova iz duktilne litine z nosilnostjo 250 kN, krožnega prereza s premerom 600 mm (pokrov z zaklepom).</t>
  </si>
  <si>
    <t>Izdelava jaška iz cementnega betona, krožnega prereza s premerom 120 cm, globokega 1,0 do 1,5 m</t>
  </si>
  <si>
    <r>
      <t xml:space="preserve">Dobava in montaža revizijskega jaška iz armiranih  poliesterskih cevi GRP DN 1000 mm SN 10000N/m2, </t>
    </r>
    <r>
      <rPr>
        <sz val="10"/>
        <rFont val="Arial"/>
        <family val="2"/>
        <charset val="238"/>
      </rPr>
      <t>globine do 2,5 m z že privarjeno talno ploščo iz poliestra, pripravljenim vtočnim in iztočnim priključkom. Spuščanje in polaganje v zemeljski jarek na podložni beton C8/10, izdelavo mulde v dnu jaška ter izdelavo in položitvijo AB venca z ležiščem za pokrov iz poliestra GRP DN 800 mm - SN 10000 N/m2
*(kaskadni)</t>
    </r>
  </si>
  <si>
    <r>
      <t xml:space="preserve">Dobava in montaža revizijskega jaška iz armiranih  poliesterskih cevi GRP DN 800 mm SN 10000N/m2, </t>
    </r>
    <r>
      <rPr>
        <sz val="10"/>
        <rFont val="Arial"/>
        <family val="2"/>
        <charset val="238"/>
      </rPr>
      <t xml:space="preserve">globine do 1,5 m z že privarjeno talno ploščo iz poliestra, pripravljenim vtočnim in iztočnim priključkom. Spuščanje in polaganje v zemeljski jarek na podložni beton C12/15, izdelavo mulde v dnu jaška ter izdelavo in položitvijo AB venca, LTŽ pokrov 600 mm - B125
</t>
    </r>
  </si>
  <si>
    <t>Izdelava kanalizacije iz cevi iz polivinilklorida, vključno z vgradnjo odgovarjajočih lokov, odcepov in spojev, vključno s podložno plastjo iz zmesi kamnitih zrn, premera 20 cm, v globini do 1,0 m
*(Ustrezen obsip cevi s prodno peščenim materialom d=8-32 mm (po detajlu))</t>
  </si>
  <si>
    <t xml:space="preserve">Doplačilo za izdelavo kanalizacije v globini 2,1 do 4 m s cevmi premera 141 do 200 cm </t>
  </si>
  <si>
    <t>Obbetoniranje cevi za kanalizacijo s cementnim betonom C 12/15, po detajlu iz načrta, premera …. Cm
*(izpust iz ekološkega otoka DN110 pri podpornem zidu GP6a)</t>
  </si>
  <si>
    <t>Izdelava opaža za krožno odprtino svetlega premera 75mm
*(preboj zidu za cev; za potrebo svetilk na stebričkih)</t>
  </si>
  <si>
    <t>Elektrokanalizacijska cev fleksibilna.  Pred nabavo kabla izmeriti dolžino trase.
*(stgf. Φ 75mm)</t>
  </si>
  <si>
    <t>kpl</t>
  </si>
  <si>
    <t>Izvedba priklopa na obstoječ interni vodovod DN25</t>
  </si>
  <si>
    <t>Priklop vključuje: prerez obstoječih cevi, ponovno polnjenje, odzračevanje, izdelava priklopa na obstoječ vodovod DN25 s cevjo DN20, fazonske kose, ves pritrdilni, vijačni in tesnilni material
*(dela se izvajajo pod nadzorom upravitelja vodovoda)</t>
  </si>
  <si>
    <t>Vodovodna PE cev - alkaten</t>
  </si>
  <si>
    <t xml:space="preserve">Polietilenske cevi d20 visoke gostote za distribucijo pitne vode. Cevi so proizvedene v skladu s standardom UNI EN 12201. Vključno vsi fazonski kosi. Cevi so dobavljive v dimenzijah od 20‐1000 mm. Cevi premerov 20‐110 mm so dobavljive v navitih kolutih standardne dolžine 100 m (oz. po želji) ter v ravnih palicah dolžine 6 ali 12 m. Cevi večjih premerov od 110 mm so dobavljive samo v ravnih palicah dolžine 6 ali 12 m. </t>
  </si>
  <si>
    <t>Zaščitna cev d63 za PE priključno cev</t>
  </si>
  <si>
    <t xml:space="preserve">Zaščitna cev </t>
  </si>
  <si>
    <t>Jašek dim. 40x40cm z zapornim/izpustnim ventilom DN15 za praznjenje v zimskem času</t>
  </si>
  <si>
    <t>Zunanje korito</t>
  </si>
  <si>
    <t>sestoječega iz: školjka iz pločevine za pritrditev na zid, dim: 450×350 mm
zidna pipa z nastavkom za gumi cev DN 15
*(Proiz: / tip: po izbiri investitorja)</t>
  </si>
  <si>
    <t>Zakoličba trase vodovoda</t>
  </si>
  <si>
    <t>Izdelava gradbenih profilov</t>
  </si>
  <si>
    <t>S potrebnim niveliranjem in meritvam</t>
  </si>
  <si>
    <t>Zakoličba obstoječih komunalnih naprav (križanja in približevanja) in označitev</t>
  </si>
  <si>
    <t>Varovanje PTT kabla</t>
  </si>
  <si>
    <t>Med gradnjo</t>
  </si>
  <si>
    <t>Strojni izkop humusa</t>
  </si>
  <si>
    <t>V sloju debeline 30cm z odrivom do 10m.</t>
  </si>
  <si>
    <t>Strojni izkop jarka</t>
  </si>
  <si>
    <t>Za vodovod v zemljini III. In IV. Kategorije, globina do 2m z odmetom izkopanega materiala 1m od roba izkopa.</t>
  </si>
  <si>
    <t>Planiranje jarka</t>
  </si>
  <si>
    <t>S točnostjo +/-3cm.</t>
  </si>
  <si>
    <t>Dobava in vgrajevanje</t>
  </si>
  <si>
    <t>Peščenega materiala 0/4mm za posteljico debeline 15 cm in zasip nad temenom cevi (15cm) z ročnim nabijanjem.</t>
  </si>
  <si>
    <t>Zasipanje jarka</t>
  </si>
  <si>
    <t>Z materialom iz izkopa.</t>
  </si>
  <si>
    <t>Z drobljencem iz kamenine s komprimiranjem v plasteh po 30 cm.</t>
  </si>
  <si>
    <t>Vnos v kataster komunalnih naprav</t>
  </si>
  <si>
    <t>Opozorilni trak</t>
  </si>
  <si>
    <t>S kovinskim vložkom položen 40 cm nad temenom cevi, z napisom POZOR VODOVOD za detekcijo trase.</t>
  </si>
  <si>
    <t>Humusiranje</t>
  </si>
  <si>
    <t>S humusnim materialom od izkopa v sloju debeline 30 cm.</t>
  </si>
  <si>
    <t>7.4</t>
  </si>
  <si>
    <t>7.4.1</t>
  </si>
  <si>
    <t>7.4.2</t>
  </si>
  <si>
    <t>7.4.3</t>
  </si>
  <si>
    <t>7.4.4</t>
  </si>
  <si>
    <t>8.1.2</t>
  </si>
  <si>
    <t>9.4.2</t>
  </si>
  <si>
    <t>9. Ekološki otok skupaj</t>
  </si>
  <si>
    <t>10.1.4</t>
  </si>
  <si>
    <t>11.3.1</t>
  </si>
  <si>
    <t>11.4.1</t>
  </si>
  <si>
    <t>11.4.2</t>
  </si>
  <si>
    <t>13.1.1.1</t>
  </si>
  <si>
    <t>13.2.1</t>
  </si>
  <si>
    <t>13.2.1.1</t>
  </si>
  <si>
    <t>13.3.1</t>
  </si>
  <si>
    <t>13.3.1.1</t>
  </si>
  <si>
    <t>13.3.2</t>
  </si>
  <si>
    <t>13.3.2.1</t>
  </si>
  <si>
    <t>13.4.1</t>
  </si>
  <si>
    <t>13.4.1.1</t>
  </si>
  <si>
    <t>13.4.2</t>
  </si>
  <si>
    <t>13.4.2.1</t>
  </si>
  <si>
    <t>13.4.3</t>
  </si>
  <si>
    <t>13.4.3.1</t>
  </si>
  <si>
    <t>5.5.2</t>
  </si>
  <si>
    <t>5.5.3</t>
  </si>
  <si>
    <t>5.5.4</t>
  </si>
  <si>
    <t>Opombe splošno:</t>
  </si>
  <si>
    <t>Opomba: Vsa oprema in material je lahko ekvivalent navedene opreme oz. materiala ali boljše kvalitete z enakimi karakteristikami.</t>
  </si>
  <si>
    <t>V ponudbi je potrebno upoštevati tehnične zahteve navedene v tehničnem poročilu in popisu.</t>
  </si>
  <si>
    <t>Za vse navedene postavke velja, da zajemajo dobavo in montažo! Zajeto mora biti tudi sprotno čiščenje objekta in okolice po opravljenih delih, sodelovanje z drugimi izvajalci, šolanje osebja, stroški tretjih oseb, nepredvidena dela, transportni in manipulativni ter drugi stroški v zvezi z izvajanjem del.</t>
  </si>
  <si>
    <t>Pred naročilom preveriti količino opreme in preveriti ustreznost pri proizvajalcu.</t>
  </si>
  <si>
    <t>V fazi izvedbe je potrebno evidentirati vse spremembe nastale med načrtom PZI in dejanskim izvedenim stanjem na objektu. Spremembe  je potrebno zapisati grafično ter jih preveriti in pregledati s strani strokovnega nadzora ter jih v elektronski obliki podati izdelovalcu PID  dokumentacije.</t>
  </si>
  <si>
    <t>Izvajalec mora zbrati in pripraviti dokumentacijo navodil za obratovanje in vzdrževanje objekta ter dokumentacijo predati investitorju oz. uporabniku objekta.</t>
  </si>
  <si>
    <t>Izvajalec mora skrbno pregledati projektno dokumentacijo ter podati poročilo da nima eventuelnih pripomb na projekt.</t>
  </si>
  <si>
    <t>Opombe strojne inštalacije:</t>
  </si>
  <si>
    <t>Vsi pogoni za ventile (motorni, magnetni, termični) morajo biti pred naročilom OBVEZNO usklajeni s projektantom električnih inštalacij</t>
  </si>
  <si>
    <t>Pred naročilom posamezne opreme je potrebno na objektu samem preveriti lokacija predvidene nove naprave, gaberite prostora,  vgradne dimenzije novih naprav, izvedljivost vgradnje, kritične odprtine (vrata, hodnike) zaradi vnosa naprave ter vsa priklopna mesta.</t>
  </si>
  <si>
    <t>V fazi izvedbe je potrebno evidentirati vse spremembe nastale med načrtom PZI in dejanskim izvedenim stanjem na objektu. Spremembe  je potrebno zapisati grafično ter jih preveriti in pregledati s strani strokovnega strojnega nadzora ter jih v elektronski obliki podati izdelovalcu PID  dokumentacije.</t>
  </si>
  <si>
    <t>Cene na enoto morajo vsebovati tudi:</t>
  </si>
  <si>
    <t>- Tlačni preizkusi z inertnim plinom, preizkusni tlak je 1,5 krat delovni tlak, vključno s potrebnimi čepi, manometri, ter njihovo odstranivijo po tlačnem preizkusu</t>
  </si>
  <si>
    <t>- Izdelava shem in obratovalnih navodil za obratovanje in vzdrževanje sisteme ogrevanja ter vgrajenih elementov , vključno s shemami delovanja v obliki zvezka in drugič v obliki risbe z opisom in potrebnimi opravili v okvirju pod steklom, obešeno pri posameznih sklopih naprav</t>
  </si>
  <si>
    <t>- Sodelovanje dobaviteljev opreme in pooblaščenih serviserjev za predvideno strojno opremo pri izvedbi funkcionalnega pregleda, ter izdaje zapisnika o zagonu po pooblaščeni organizaciji</t>
  </si>
  <si>
    <t xml:space="preserve"> - Šolanje osebja za upravljanje in vzdrževanje novih naprav</t>
  </si>
  <si>
    <t xml:space="preserve">- Transportni, manipulativni stroški </t>
  </si>
  <si>
    <t>Izvajalec mora vso demontirano opremo, ki ne bo več uporabljena in odpadni material, nastal pri izvajanju del odpeljati na deponijo oziroma na podjetje za predelavo surovin in vračunati v ponudbeni ceni vse spremljajoče stroške vključno s taksami in nadomestiili za uničenje okolju nevarnih snovi.</t>
  </si>
  <si>
    <t>Postavitev in zavarovanje profilov za zakoličbo objekta s površino nad  100 m2  (zakoličba južne gradbiščne poti).</t>
  </si>
  <si>
    <t>Postavitev gradbiščne žične ograje, višine 2 m</t>
  </si>
  <si>
    <t>kom</t>
  </si>
  <si>
    <t>Odstranitev grmovja in dreves z debli premera do 10 cm ter vej na redko porasli površini - strojno</t>
  </si>
  <si>
    <t>Izdelava tamponske plasti iz drobljenca zrnavosti od 0 do 32 mm, v debelini 15 cm z dobavo, raztiranjem, planiranjem in komprimiranjem.</t>
  </si>
  <si>
    <t>Planum temeljnih tal</t>
  </si>
  <si>
    <t>Ureditev planuma temeljnih tal zrnate kamnine – 3. kategorije</t>
  </si>
  <si>
    <t>1. UREDITEV GRADBIŠČA</t>
  </si>
  <si>
    <t>2. UREDITEV JUŽNE GRABIŠČNE POTI</t>
  </si>
  <si>
    <t>3. PREDDELA ETAPA 5</t>
  </si>
  <si>
    <t>Postavitev in vzdrževanje gradbiščne infrastrukture, objektov, začasne deponije, potrebne komunalne ureditve, gradbiščne table in vsa soglasja
*Predviden čas gradnje je cca 1 leto.</t>
  </si>
  <si>
    <t>3.1.7</t>
  </si>
  <si>
    <t>3.1.8</t>
  </si>
  <si>
    <t>3.1.9</t>
  </si>
  <si>
    <t>3.1.10</t>
  </si>
  <si>
    <t>3.1.11</t>
  </si>
  <si>
    <t>3.1.12</t>
  </si>
  <si>
    <t>3.1.13</t>
  </si>
  <si>
    <t>3.1.14</t>
  </si>
  <si>
    <t>4. ZEMELJSKA DELA  ZA GROBNO POLJE GP6</t>
  </si>
  <si>
    <t>4.2.6</t>
  </si>
  <si>
    <t>4.3.2</t>
  </si>
  <si>
    <t>4.3.3</t>
  </si>
  <si>
    <t>4.3.4</t>
  </si>
  <si>
    <t>4.3.5</t>
  </si>
  <si>
    <t>4.3.6</t>
  </si>
  <si>
    <t xml:space="preserve">5. AB PODPORNI ZID GP6a </t>
  </si>
  <si>
    <t>5.1.6</t>
  </si>
  <si>
    <t>5. AB podporni zid GP6a skupaj</t>
  </si>
  <si>
    <t>4. Zemeljska dela skupaj</t>
  </si>
  <si>
    <t>3. Preddela etapa 5 skupaj</t>
  </si>
  <si>
    <t>2. Ureditev gradbiščne poti - skupaj</t>
  </si>
  <si>
    <t>1. Ureditev gradbišča - skupaj</t>
  </si>
  <si>
    <t xml:space="preserve">6. AB PODPORNI ZID GP6b </t>
  </si>
  <si>
    <t>6.1.3</t>
  </si>
  <si>
    <t>6.1.4</t>
  </si>
  <si>
    <t>6.1.5</t>
  </si>
  <si>
    <t>6.1.6</t>
  </si>
  <si>
    <t>6.1.7</t>
  </si>
  <si>
    <t>6.1.8</t>
  </si>
  <si>
    <t>6.1.9</t>
  </si>
  <si>
    <t>6.1.10</t>
  </si>
  <si>
    <t>6.2.5</t>
  </si>
  <si>
    <t>6.4</t>
  </si>
  <si>
    <t>6.4.1</t>
  </si>
  <si>
    <t>6.4.2</t>
  </si>
  <si>
    <t>6.4.3</t>
  </si>
  <si>
    <t>6.4.4</t>
  </si>
  <si>
    <t>6.5</t>
  </si>
  <si>
    <t>6.5.1</t>
  </si>
  <si>
    <t>6.5.2</t>
  </si>
  <si>
    <t>6.5.3</t>
  </si>
  <si>
    <t>6.5.4</t>
  </si>
  <si>
    <t>6. AB podporni zid 6b skupaj</t>
  </si>
  <si>
    <t>7. AB OBODNI ZID  - DEL PRI GP6</t>
  </si>
  <si>
    <t>7.1.2</t>
  </si>
  <si>
    <t>7.1.3</t>
  </si>
  <si>
    <t>7.1.4</t>
  </si>
  <si>
    <t>7.1.5</t>
  </si>
  <si>
    <t>7.2.3</t>
  </si>
  <si>
    <t>7.2.4</t>
  </si>
  <si>
    <t>7.2.5</t>
  </si>
  <si>
    <t>7. AB podporni obodni zid del GP6 skupaj</t>
  </si>
  <si>
    <t>7.5</t>
  </si>
  <si>
    <t>7.5.1</t>
  </si>
  <si>
    <t>7.5.2</t>
  </si>
  <si>
    <t>7.5.3</t>
  </si>
  <si>
    <t>7.5.4</t>
  </si>
  <si>
    <t>8. GROBNO POLJE GP6</t>
  </si>
  <si>
    <t>8.2.3</t>
  </si>
  <si>
    <t>8.2.4</t>
  </si>
  <si>
    <t>8.3.2</t>
  </si>
  <si>
    <t>8. Grobno polje skupaj</t>
  </si>
  <si>
    <t>9. KONČNA UREDITEV POVRŠIN GROBNEGA POLJA GP6</t>
  </si>
  <si>
    <t>9.4.3</t>
  </si>
  <si>
    <t>9.4.4</t>
  </si>
  <si>
    <t>9.4.5</t>
  </si>
  <si>
    <t>9.4.6</t>
  </si>
  <si>
    <t>9.4.7</t>
  </si>
  <si>
    <t>9.4.8</t>
  </si>
  <si>
    <t>9.4.9</t>
  </si>
  <si>
    <t>9. Končna ureditev površin grobnih polj in ostala oprema skupaj</t>
  </si>
  <si>
    <t>10. TALNI ŽARNI GROBOVI (pred zidom GP6)</t>
  </si>
  <si>
    <t>10.1</t>
  </si>
  <si>
    <t>10.2</t>
  </si>
  <si>
    <t>10.3</t>
  </si>
  <si>
    <t>10.3.1</t>
  </si>
  <si>
    <t>10.4</t>
  </si>
  <si>
    <t>10.4.1</t>
  </si>
  <si>
    <t>10.5</t>
  </si>
  <si>
    <t>10.5.1</t>
  </si>
  <si>
    <t>10.6</t>
  </si>
  <si>
    <t>10.6.1</t>
  </si>
  <si>
    <t>10. Talni žarni grobovi skupaj</t>
  </si>
  <si>
    <t>11. EKOLOŠKI OTOK</t>
  </si>
  <si>
    <t>11.1</t>
  </si>
  <si>
    <t>11.1.2</t>
  </si>
  <si>
    <t>11.2</t>
  </si>
  <si>
    <t>11.3</t>
  </si>
  <si>
    <t>11.4</t>
  </si>
  <si>
    <t>11.5</t>
  </si>
  <si>
    <t>11.5.1</t>
  </si>
  <si>
    <t>11.5.2</t>
  </si>
  <si>
    <t>11.5.3</t>
  </si>
  <si>
    <t>11.6</t>
  </si>
  <si>
    <t>11.6.1</t>
  </si>
  <si>
    <t>11.7</t>
  </si>
  <si>
    <t>11.7.1</t>
  </si>
  <si>
    <t>11.8</t>
  </si>
  <si>
    <t>11.8.1</t>
  </si>
  <si>
    <t>11.8.2</t>
  </si>
  <si>
    <t>12. POHODNE POTI</t>
  </si>
  <si>
    <t>12.1 DOSTOPNA POT 1B</t>
  </si>
  <si>
    <t>12.1.1.1</t>
  </si>
  <si>
    <t>12.1.1.2</t>
  </si>
  <si>
    <t>12.1.2</t>
  </si>
  <si>
    <t>12.1.2.1</t>
  </si>
  <si>
    <t>12.1.3</t>
  </si>
  <si>
    <t>12.1.3.1</t>
  </si>
  <si>
    <t>12.1.4</t>
  </si>
  <si>
    <t>12.1.4.1</t>
  </si>
  <si>
    <t>12.2 ZAČASNA DOSTOPNA POT</t>
  </si>
  <si>
    <t>12.2.1</t>
  </si>
  <si>
    <t>12.2.1.1</t>
  </si>
  <si>
    <t>12.2.1.2</t>
  </si>
  <si>
    <t>12.2.2</t>
  </si>
  <si>
    <t>12.2.2.1</t>
  </si>
  <si>
    <t>12.2.3</t>
  </si>
  <si>
    <t>12.2.3.1</t>
  </si>
  <si>
    <t>12. Pohodne poti skupaj</t>
  </si>
  <si>
    <t>13. ODVODNJAVANJE V ETAPI 5</t>
  </si>
  <si>
    <t>13.1.1.2</t>
  </si>
  <si>
    <t>13.2 GLOBINSKO ODVODNJEVANJE - DRENAŽA DOSTOPNE POTI</t>
  </si>
  <si>
    <t>13.1 GLOBINSKO ODVODNJEVANJE - DRENAŽA ZA PODPORNIM ZIDOM GP6a</t>
  </si>
  <si>
    <t>13.2.1.2</t>
  </si>
  <si>
    <t>13.2.2</t>
  </si>
  <si>
    <t>13.2 GLOBINSKO ODVODNJEVANJE - DRENAŽA ZA PODPORNIM ZIDOM GP6b</t>
  </si>
  <si>
    <t>13.2.2.1</t>
  </si>
  <si>
    <t>13.2.2.2</t>
  </si>
  <si>
    <t>13.2.2.3</t>
  </si>
  <si>
    <t>13.2.3</t>
  </si>
  <si>
    <t>13.2.3.1</t>
  </si>
  <si>
    <t>13.2.4</t>
  </si>
  <si>
    <t>13.2.4.1</t>
  </si>
  <si>
    <t>13.2.4.2</t>
  </si>
  <si>
    <t>13.2.5</t>
  </si>
  <si>
    <t>13.2.5.1</t>
  </si>
  <si>
    <t>13.2.5.2</t>
  </si>
  <si>
    <t>13.2.5.3</t>
  </si>
  <si>
    <t xml:space="preserve">13.3. GLOBINSKO ODVODNJAVANJE TŽG PRED PODPORNIM ZIDOM - DRENAŽE </t>
  </si>
  <si>
    <t>13.3.3</t>
  </si>
  <si>
    <t>13.3.3.1</t>
  </si>
  <si>
    <t>13.3.3.2</t>
  </si>
  <si>
    <t>13.3.4</t>
  </si>
  <si>
    <t>13.3.4.1</t>
  </si>
  <si>
    <t>13.3.4.2</t>
  </si>
  <si>
    <t>13.4. METEORNA KANALIZACIJA</t>
  </si>
  <si>
    <t>13.4.2.2</t>
  </si>
  <si>
    <t>13.4.2.3</t>
  </si>
  <si>
    <t>13.4.3.2</t>
  </si>
  <si>
    <t>13.4.3.3</t>
  </si>
  <si>
    <t>13.4.3.4</t>
  </si>
  <si>
    <t>13.4.3.5</t>
  </si>
  <si>
    <t>13. Odvodnjevanje v etapi 5 skupaj</t>
  </si>
  <si>
    <t>14. ELEKTROINŠTALACIJE</t>
  </si>
  <si>
    <t>14.1.1</t>
  </si>
  <si>
    <t>14. Elektroinštalacije skupaj</t>
  </si>
  <si>
    <t>15. VODOVOD</t>
  </si>
  <si>
    <t>15.1 ETAPA 5</t>
  </si>
  <si>
    <t>15.1.1</t>
  </si>
  <si>
    <t>15.1.1.1</t>
  </si>
  <si>
    <t>15.1.2</t>
  </si>
  <si>
    <t>15.1.3</t>
  </si>
  <si>
    <t>15.1.2.1</t>
  </si>
  <si>
    <t>15.1.3.1</t>
  </si>
  <si>
    <t>15.1.4</t>
  </si>
  <si>
    <t>15.1.4.1</t>
  </si>
  <si>
    <t>15.2 SANITARNI ELEMENTI</t>
  </si>
  <si>
    <t>15.2.1</t>
  </si>
  <si>
    <t>15.2.1.1</t>
  </si>
  <si>
    <t>15.3 GRADBENA DELA</t>
  </si>
  <si>
    <t>15.3.1</t>
  </si>
  <si>
    <t>15.3.1.1</t>
  </si>
  <si>
    <t>15.3.2</t>
  </si>
  <si>
    <t>15.3.2.1</t>
  </si>
  <si>
    <t>15.4 ZEMELJSKA DELA</t>
  </si>
  <si>
    <t>15.4.1</t>
  </si>
  <si>
    <t>15.4.1.1</t>
  </si>
  <si>
    <t>15.4.2</t>
  </si>
  <si>
    <t>15.4.2.1</t>
  </si>
  <si>
    <t>15.4.3</t>
  </si>
  <si>
    <t>15.4.3.1</t>
  </si>
  <si>
    <t>15.4.4</t>
  </si>
  <si>
    <t>15.4.4.1</t>
  </si>
  <si>
    <t>15.4.5</t>
  </si>
  <si>
    <t>15.4.5.1</t>
  </si>
  <si>
    <t>15.4.5.2</t>
  </si>
  <si>
    <t>15.4.6</t>
  </si>
  <si>
    <t>15.4.6.1</t>
  </si>
  <si>
    <t>15.4.7</t>
  </si>
  <si>
    <t>15.4.7.1</t>
  </si>
  <si>
    <t>15.5 ZAKLJUČNA DELA</t>
  </si>
  <si>
    <t>15.5.1</t>
  </si>
  <si>
    <t>15. Vodovod skupaj</t>
  </si>
  <si>
    <t>16. Nepredvidena dela vpisana v gradbeni dnevnik in potrjena s strani nadzornega organa in predstavnika naročnika v višini 10 % od vrednosti skupine del 1 do 15</t>
  </si>
  <si>
    <t xml:space="preserve">REKAPITULACIJA </t>
  </si>
  <si>
    <t>I. GROBNO POLJE GP6 - ETAPA 5 (GOI dela post od 1 do 15)</t>
  </si>
  <si>
    <t>II. Nepredvidena dela vpisana v gradbeni dnevnik in potrjena s strani nadzornega organa in predstavnika naročnika v višini 10 % (post. 16)</t>
  </si>
  <si>
    <t>III.Skupaj vsa dela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</si>
</sst>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0.0"/>
    <numFmt numFmtId="166" formatCode="#,##0.00\ _€"/>
    <numFmt numFmtId="167" formatCode="* #,##0.00&quot;       &quot;;\-* #,##0.00&quot;       &quot;;* \-#&quot;       &quot;;@\ "/>
    <numFmt numFmtId="168" formatCode="#,##0.00\ &quot;€&quot;"/>
  </numFmts>
  <fonts count="25" x14ac:knownFonts="1">
    <font>
      <sz val="10"/>
      <name val="Arial"/>
      <family val="2"/>
      <charset val="238"/>
    </font>
    <font>
      <b/>
      <sz val="14"/>
      <name val="Arial"/>
      <family val="2"/>
      <charset val="238"/>
    </font>
    <font>
      <b/>
      <sz val="12"/>
      <name val="Arial"/>
      <family val="2"/>
      <charset val="238"/>
    </font>
    <font>
      <b/>
      <sz val="10"/>
      <name val="Arial"/>
      <family val="2"/>
      <charset val="238"/>
    </font>
    <font>
      <i/>
      <sz val="10"/>
      <name val="Arial"/>
      <family val="2"/>
      <charset val="238"/>
    </font>
    <font>
      <sz val="10"/>
      <name val="Arial CE"/>
      <family val="2"/>
      <charset val="238"/>
    </font>
    <font>
      <sz val="12"/>
      <name val="Arial"/>
      <family val="2"/>
      <charset val="238"/>
    </font>
    <font>
      <sz val="10"/>
      <name val="Arial"/>
      <family val="2"/>
    </font>
    <font>
      <sz val="10"/>
      <name val="Arial"/>
      <family val="2"/>
      <charset val="238"/>
    </font>
    <font>
      <b/>
      <sz val="10"/>
      <color indexed="12"/>
      <name val="Arial"/>
      <family val="2"/>
      <charset val="238"/>
    </font>
    <font>
      <vertAlign val="superscript"/>
      <sz val="10"/>
      <name val="Arial"/>
      <family val="2"/>
      <charset val="238"/>
    </font>
    <font>
      <sz val="8"/>
      <name val="Arial CE"/>
      <charset val="238"/>
    </font>
    <font>
      <sz val="10"/>
      <name val="Arial"/>
      <family val="2"/>
      <charset val="238"/>
    </font>
    <font>
      <sz val="10"/>
      <color indexed="10"/>
      <name val="Arial"/>
      <family val="2"/>
      <charset val="238"/>
    </font>
    <font>
      <sz val="8"/>
      <name val="Arial"/>
      <family val="2"/>
      <charset val="238"/>
    </font>
    <font>
      <sz val="10"/>
      <name val="Calibri"/>
      <family val="2"/>
      <charset val="238"/>
    </font>
    <font>
      <sz val="10"/>
      <name val="MS Sans Serif"/>
      <family val="2"/>
      <charset val="238"/>
    </font>
    <font>
      <sz val="10"/>
      <name val="Arial CE"/>
      <charset val="238"/>
    </font>
    <font>
      <sz val="9"/>
      <name val="Arial"/>
      <family val="2"/>
      <charset val="238"/>
    </font>
    <font>
      <b/>
      <sz val="14"/>
      <name val="Arial Narrow"/>
      <family val="2"/>
      <charset val="238"/>
    </font>
    <font>
      <u/>
      <sz val="10"/>
      <name val="Arial"/>
      <family val="2"/>
      <charset val="238"/>
    </font>
    <font>
      <sz val="11"/>
      <color theme="1"/>
      <name val="Calibri"/>
      <family val="2"/>
      <charset val="238"/>
      <scheme val="minor"/>
    </font>
    <font>
      <sz val="10"/>
      <color rgb="FFFF0000"/>
      <name val="Arial"/>
      <family val="2"/>
      <charset val="238"/>
    </font>
    <font>
      <sz val="10"/>
      <color theme="0" tint="-0.499984740745262"/>
      <name val="Arial"/>
      <family val="2"/>
      <charset val="238"/>
    </font>
    <font>
      <sz val="14"/>
      <name val="Arial"/>
      <family val="2"/>
      <charset val="238"/>
    </font>
  </fonts>
  <fills count="4">
    <fill>
      <patternFill patternType="none"/>
    </fill>
    <fill>
      <patternFill patternType="gray125"/>
    </fill>
    <fill>
      <patternFill patternType="solid">
        <fgColor theme="6" tint="0.39997558519241921"/>
        <bgColor indexed="64"/>
      </patternFill>
    </fill>
    <fill>
      <patternFill patternType="solid">
        <fgColor rgb="FFFFFF99"/>
        <bgColor indexed="64"/>
      </patternFill>
    </fill>
  </fills>
  <borders count="87">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top style="thin">
        <color indexed="8"/>
      </top>
      <bottom style="thin">
        <color indexed="8"/>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medium">
        <color indexed="8"/>
      </left>
      <right style="medium">
        <color indexed="8"/>
      </right>
      <top style="medium">
        <color indexed="8"/>
      </top>
      <bottom style="medium">
        <color indexed="8"/>
      </bottom>
      <diagonal/>
    </border>
    <border>
      <left style="medium">
        <color indexed="8"/>
      </left>
      <right style="medium">
        <color indexed="8"/>
      </right>
      <top style="thin">
        <color indexed="8"/>
      </top>
      <bottom style="double">
        <color indexed="64"/>
      </bottom>
      <diagonal/>
    </border>
    <border>
      <left style="medium">
        <color indexed="8"/>
      </left>
      <right style="medium">
        <color indexed="8"/>
      </right>
      <top/>
      <bottom style="medium">
        <color indexed="8"/>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style="thin">
        <color indexed="8"/>
      </left>
      <right style="thin">
        <color indexed="8"/>
      </right>
      <top style="thin">
        <color indexed="64"/>
      </top>
      <bottom style="thin">
        <color indexed="64"/>
      </bottom>
      <diagonal/>
    </border>
    <border>
      <left/>
      <right style="thin">
        <color indexed="8"/>
      </right>
      <top style="thin">
        <color indexed="64"/>
      </top>
      <bottom style="thin">
        <color indexed="64"/>
      </bottom>
      <diagonal/>
    </border>
    <border>
      <left style="medium">
        <color indexed="8"/>
      </left>
      <right style="medium">
        <color indexed="8"/>
      </right>
      <top/>
      <bottom style="thin">
        <color indexed="8"/>
      </bottom>
      <diagonal/>
    </border>
    <border>
      <left/>
      <right/>
      <top style="thin">
        <color indexed="64"/>
      </top>
      <bottom/>
      <diagonal/>
    </border>
    <border>
      <left style="thin">
        <color indexed="64"/>
      </left>
      <right style="thin">
        <color indexed="8"/>
      </right>
      <top/>
      <bottom style="thin">
        <color indexed="8"/>
      </bottom>
      <diagonal/>
    </border>
    <border>
      <left style="thin">
        <color indexed="64"/>
      </left>
      <right style="thin">
        <color indexed="8"/>
      </right>
      <top style="thin">
        <color indexed="8"/>
      </top>
      <bottom/>
      <diagonal/>
    </border>
    <border>
      <left style="thin">
        <color indexed="64"/>
      </left>
      <right style="thin">
        <color indexed="8"/>
      </right>
      <top style="thin">
        <color indexed="8"/>
      </top>
      <bottom style="thin">
        <color indexed="8"/>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8"/>
      </bottom>
      <diagonal/>
    </border>
    <border>
      <left/>
      <right style="thin">
        <color indexed="8"/>
      </right>
      <top style="thin">
        <color indexed="64"/>
      </top>
      <bottom style="thin">
        <color indexed="8"/>
      </bottom>
      <diagonal/>
    </border>
    <border>
      <left style="thin">
        <color indexed="64"/>
      </left>
      <right style="thin">
        <color indexed="8"/>
      </right>
      <top style="thin">
        <color indexed="64"/>
      </top>
      <bottom style="thin">
        <color indexed="64"/>
      </bottom>
      <diagonal/>
    </border>
    <border>
      <left style="thin">
        <color indexed="64"/>
      </left>
      <right style="thin">
        <color indexed="64"/>
      </right>
      <top/>
      <bottom/>
      <diagonal/>
    </border>
    <border>
      <left/>
      <right/>
      <top style="medium">
        <color indexed="64"/>
      </top>
      <bottom style="thin">
        <color indexed="64"/>
      </bottom>
      <diagonal/>
    </border>
    <border>
      <left style="thin">
        <color indexed="8"/>
      </left>
      <right style="thin">
        <color indexed="8"/>
      </right>
      <top/>
      <bottom/>
      <diagonal/>
    </border>
    <border>
      <left style="thin">
        <color indexed="8"/>
      </left>
      <right style="thin">
        <color indexed="8"/>
      </right>
      <top/>
      <bottom style="thin">
        <color indexed="64"/>
      </bottom>
      <diagonal/>
    </border>
    <border>
      <left style="thin">
        <color indexed="8"/>
      </left>
      <right style="thin">
        <color indexed="8"/>
      </right>
      <top style="thin">
        <color indexed="64"/>
      </top>
      <bottom style="thin">
        <color indexed="8"/>
      </bottom>
      <diagonal/>
    </border>
    <border>
      <left style="thin">
        <color indexed="64"/>
      </left>
      <right/>
      <top style="thin">
        <color indexed="8"/>
      </top>
      <bottom/>
      <diagonal/>
    </border>
    <border>
      <left style="thin">
        <color indexed="64"/>
      </left>
      <right style="thin">
        <color indexed="8"/>
      </right>
      <top/>
      <bottom/>
      <diagonal/>
    </border>
    <border>
      <left style="thin">
        <color indexed="8"/>
      </left>
      <right/>
      <top style="thin">
        <color indexed="64"/>
      </top>
      <bottom style="thin">
        <color indexed="64"/>
      </bottom>
      <diagonal/>
    </border>
    <border>
      <left style="thin">
        <color indexed="64"/>
      </left>
      <right/>
      <top/>
      <bottom style="thin">
        <color indexed="8"/>
      </bottom>
      <diagonal/>
    </border>
    <border>
      <left style="medium">
        <color indexed="64"/>
      </left>
      <right/>
      <top/>
      <bottom style="thin">
        <color indexed="64"/>
      </bottom>
      <diagonal/>
    </border>
    <border>
      <left style="thin">
        <color indexed="64"/>
      </left>
      <right/>
      <top/>
      <bottom style="double">
        <color indexed="64"/>
      </bottom>
      <diagonal/>
    </border>
    <border>
      <left/>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bottom/>
      <diagonal/>
    </border>
    <border>
      <left style="thin">
        <color indexed="8"/>
      </left>
      <right style="thin">
        <color indexed="64"/>
      </right>
      <top style="thin">
        <color indexed="64"/>
      </top>
      <bottom style="thin">
        <color indexed="8"/>
      </bottom>
      <diagonal/>
    </border>
    <border>
      <left/>
      <right style="thin">
        <color indexed="64"/>
      </right>
      <top style="thin">
        <color indexed="8"/>
      </top>
      <bottom style="thin">
        <color indexed="8"/>
      </bottom>
      <diagonal/>
    </border>
    <border>
      <left/>
      <right style="thin">
        <color indexed="64"/>
      </right>
      <top style="thin">
        <color indexed="8"/>
      </top>
      <bottom/>
      <diagonal/>
    </border>
    <border>
      <left/>
      <right style="thin">
        <color indexed="64"/>
      </right>
      <top/>
      <bottom style="thin">
        <color indexed="8"/>
      </bottom>
      <diagonal/>
    </border>
    <border>
      <left/>
      <right style="thin">
        <color indexed="64"/>
      </right>
      <top style="thin">
        <color indexed="8"/>
      </top>
      <bottom style="thin">
        <color indexed="64"/>
      </bottom>
      <diagonal/>
    </border>
    <border>
      <left/>
      <right style="thin">
        <color indexed="64"/>
      </right>
      <top style="thin">
        <color indexed="64"/>
      </top>
      <bottom style="thin">
        <color indexed="8"/>
      </bottom>
      <diagonal/>
    </border>
    <border>
      <left/>
      <right style="thin">
        <color indexed="64"/>
      </right>
      <top/>
      <bottom style="thin">
        <color indexed="64"/>
      </bottom>
      <diagonal/>
    </border>
    <border>
      <left style="thin">
        <color indexed="8"/>
      </left>
      <right style="thin">
        <color indexed="64"/>
      </right>
      <top style="thin">
        <color indexed="8"/>
      </top>
      <bottom style="thin">
        <color indexed="8"/>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style="thin">
        <color indexed="64"/>
      </top>
      <bottom style="thin">
        <color indexed="64"/>
      </bottom>
      <diagonal/>
    </border>
    <border>
      <left style="thin">
        <color indexed="8"/>
      </left>
      <right style="thin">
        <color indexed="64"/>
      </right>
      <top/>
      <bottom style="thin">
        <color indexed="8"/>
      </bottom>
      <diagonal/>
    </border>
    <border>
      <left/>
      <right/>
      <top/>
      <bottom style="thin">
        <color indexed="8"/>
      </bottom>
      <diagonal/>
    </border>
    <border>
      <left/>
      <right style="thin">
        <color indexed="64"/>
      </right>
      <top style="thin">
        <color indexed="64"/>
      </top>
      <bottom/>
      <diagonal/>
    </border>
    <border>
      <left style="thin">
        <color indexed="8"/>
      </left>
      <right/>
      <top style="thin">
        <color indexed="8"/>
      </top>
      <bottom/>
      <diagonal/>
    </border>
    <border>
      <left style="thin">
        <color indexed="64"/>
      </left>
      <right style="medium">
        <color indexed="64"/>
      </right>
      <top style="medium">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double">
        <color indexed="64"/>
      </bottom>
      <diagonal/>
    </border>
    <border>
      <left/>
      <right style="medium">
        <color indexed="64"/>
      </right>
      <top/>
      <bottom style="medium">
        <color indexed="64"/>
      </bottom>
      <diagonal/>
    </border>
    <border>
      <left style="medium">
        <color indexed="8"/>
      </left>
      <right/>
      <top style="thin">
        <color indexed="8"/>
      </top>
      <bottom style="thin">
        <color indexed="8"/>
      </bottom>
      <diagonal/>
    </border>
    <border>
      <left style="medium">
        <color indexed="8"/>
      </left>
      <right/>
      <top style="medium">
        <color indexed="8"/>
      </top>
      <bottom style="medium">
        <color indexed="8"/>
      </bottom>
      <diagonal/>
    </border>
    <border>
      <left style="medium">
        <color indexed="8"/>
      </left>
      <right/>
      <top/>
      <bottom style="thin">
        <color indexed="8"/>
      </bottom>
      <diagonal/>
    </border>
    <border>
      <left style="medium">
        <color indexed="8"/>
      </left>
      <right/>
      <top style="thin">
        <color indexed="8"/>
      </top>
      <bottom style="double">
        <color indexed="64"/>
      </bottom>
      <diagonal/>
    </border>
    <border>
      <left style="medium">
        <color indexed="8"/>
      </left>
      <right/>
      <top/>
      <bottom style="medium">
        <color indexed="8"/>
      </bottom>
      <diagonal/>
    </border>
    <border>
      <left style="medium">
        <color indexed="64"/>
      </left>
      <right/>
      <top style="thin">
        <color indexed="64"/>
      </top>
      <bottom style="thin">
        <color indexed="64"/>
      </bottom>
      <diagonal/>
    </border>
    <border>
      <left style="thin">
        <color indexed="64"/>
      </left>
      <right style="thin">
        <color indexed="8"/>
      </right>
      <top style="thin">
        <color indexed="64"/>
      </top>
      <bottom style="thin">
        <color indexed="8"/>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double">
        <color indexed="64"/>
      </top>
      <bottom style="medium">
        <color indexed="64"/>
      </bottom>
      <diagonal/>
    </border>
    <border>
      <left/>
      <right style="thin">
        <color indexed="64"/>
      </right>
      <top style="double">
        <color indexed="64"/>
      </top>
      <bottom style="medium">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medium">
        <color indexed="8"/>
      </left>
      <right style="medium">
        <color indexed="8"/>
      </right>
      <top style="thin">
        <color indexed="8"/>
      </top>
      <bottom style="medium">
        <color indexed="64"/>
      </bottom>
      <diagonal/>
    </border>
    <border>
      <left style="medium">
        <color indexed="8"/>
      </left>
      <right/>
      <top style="thin">
        <color indexed="8"/>
      </top>
      <bottom style="medium">
        <color indexed="64"/>
      </bottom>
      <diagonal/>
    </border>
  </borders>
  <cellStyleXfs count="11">
    <xf numFmtId="0" fontId="0" fillId="0" borderId="0"/>
    <xf numFmtId="0" fontId="5" fillId="0" borderId="0"/>
    <xf numFmtId="0" fontId="7" fillId="0" borderId="0"/>
    <xf numFmtId="0" fontId="11" fillId="0" borderId="0"/>
    <xf numFmtId="0" fontId="12" fillId="0" borderId="0"/>
    <xf numFmtId="0" fontId="8" fillId="0" borderId="0"/>
    <xf numFmtId="0" fontId="5" fillId="0" borderId="0"/>
    <xf numFmtId="0" fontId="16" fillId="0" borderId="0"/>
    <xf numFmtId="0" fontId="21" fillId="0" borderId="0"/>
    <xf numFmtId="0" fontId="17" fillId="0" borderId="0"/>
    <xf numFmtId="167" fontId="5" fillId="0" borderId="0" applyFill="0" applyBorder="0" applyAlignment="0" applyProtection="0"/>
  </cellStyleXfs>
  <cellXfs count="387">
    <xf numFmtId="0" fontId="0" fillId="0" borderId="0" xfId="0"/>
    <xf numFmtId="49" fontId="0" fillId="0" borderId="0" xfId="0" applyNumberFormat="1" applyFill="1" applyBorder="1"/>
    <xf numFmtId="0" fontId="0" fillId="0" borderId="0" xfId="0" applyFill="1" applyBorder="1" applyAlignment="1">
      <alignment wrapText="1"/>
    </xf>
    <xf numFmtId="0" fontId="0" fillId="0" borderId="0" xfId="0" applyFill="1" applyBorder="1"/>
    <xf numFmtId="1" fontId="0" fillId="0" borderId="0" xfId="0" applyNumberFormat="1" applyFont="1" applyFill="1" applyBorder="1" applyAlignment="1">
      <alignment horizontal="center"/>
    </xf>
    <xf numFmtId="2" fontId="0" fillId="0" borderId="0" xfId="0" applyNumberFormat="1" applyFill="1" applyBorder="1" applyAlignment="1">
      <alignment horizontal="center"/>
    </xf>
    <xf numFmtId="4" fontId="0" fillId="0" borderId="0" xfId="0" applyNumberFormat="1" applyFill="1" applyBorder="1" applyAlignment="1">
      <alignment horizontal="right"/>
    </xf>
    <xf numFmtId="0" fontId="0" fillId="0" borderId="1" xfId="0" applyFont="1" applyFill="1" applyBorder="1" applyAlignment="1">
      <alignment horizontal="center"/>
    </xf>
    <xf numFmtId="164" fontId="0" fillId="0" borderId="1" xfId="0" applyNumberFormat="1" applyFont="1" applyFill="1" applyBorder="1" applyAlignment="1">
      <alignment horizontal="center"/>
    </xf>
    <xf numFmtId="4" fontId="0" fillId="0" borderId="1" xfId="0" applyNumberFormat="1" applyFont="1" applyFill="1" applyBorder="1" applyAlignment="1">
      <alignment horizontal="center"/>
    </xf>
    <xf numFmtId="0" fontId="4" fillId="0" borderId="0" xfId="0" applyFont="1" applyFill="1" applyBorder="1" applyAlignment="1">
      <alignment wrapText="1"/>
    </xf>
    <xf numFmtId="0" fontId="0" fillId="0" borderId="0" xfId="0" applyFont="1" applyFill="1" applyBorder="1" applyAlignment="1">
      <alignment horizontal="center"/>
    </xf>
    <xf numFmtId="164" fontId="0" fillId="0" borderId="0" xfId="0" applyNumberFormat="1" applyFont="1" applyFill="1" applyBorder="1" applyAlignment="1">
      <alignment horizontal="center"/>
    </xf>
    <xf numFmtId="4" fontId="0" fillId="0" borderId="0" xfId="0" applyNumberFormat="1" applyFont="1" applyFill="1" applyBorder="1" applyAlignment="1">
      <alignment horizontal="center"/>
    </xf>
    <xf numFmtId="49" fontId="0" fillId="0" borderId="1" xfId="0" applyNumberFormat="1" applyFont="1" applyFill="1" applyBorder="1"/>
    <xf numFmtId="0" fontId="0" fillId="0" borderId="1" xfId="0" applyFont="1" applyFill="1" applyBorder="1" applyAlignment="1">
      <alignment wrapText="1"/>
    </xf>
    <xf numFmtId="0" fontId="0" fillId="0" borderId="1" xfId="0" applyFont="1" applyFill="1" applyBorder="1"/>
    <xf numFmtId="1" fontId="0" fillId="0" borderId="1" xfId="0" applyNumberFormat="1" applyFont="1" applyFill="1" applyBorder="1" applyAlignment="1">
      <alignment horizontal="center"/>
    </xf>
    <xf numFmtId="2" fontId="0" fillId="0" borderId="1" xfId="0" applyNumberFormat="1" applyFill="1" applyBorder="1" applyAlignment="1">
      <alignment horizontal="center"/>
    </xf>
    <xf numFmtId="4" fontId="0" fillId="0" borderId="1" xfId="0" applyNumberFormat="1" applyFill="1" applyBorder="1"/>
    <xf numFmtId="0" fontId="3" fillId="0" borderId="0" xfId="0" applyFont="1" applyFill="1" applyBorder="1" applyAlignment="1">
      <alignment horizontal="left" wrapText="1"/>
    </xf>
    <xf numFmtId="4" fontId="3" fillId="0" borderId="0" xfId="0" applyNumberFormat="1" applyFont="1" applyFill="1" applyBorder="1" applyAlignment="1">
      <alignment horizontal="right" wrapText="1"/>
    </xf>
    <xf numFmtId="0" fontId="3" fillId="0" borderId="0" xfId="0" applyFont="1" applyFill="1" applyBorder="1" applyAlignment="1">
      <alignment wrapText="1"/>
    </xf>
    <xf numFmtId="165" fontId="0" fillId="0" borderId="1" xfId="0" applyNumberFormat="1" applyFont="1" applyFill="1" applyBorder="1" applyAlignment="1">
      <alignment horizontal="center"/>
    </xf>
    <xf numFmtId="4" fontId="0" fillId="0" borderId="0" xfId="0" applyNumberFormat="1" applyFill="1" applyBorder="1"/>
    <xf numFmtId="49" fontId="4" fillId="0" borderId="0" xfId="0" applyNumberFormat="1" applyFont="1" applyFill="1" applyBorder="1"/>
    <xf numFmtId="4" fontId="0" fillId="0" borderId="1" xfId="0" applyNumberFormat="1" applyFill="1" applyBorder="1" applyAlignment="1">
      <alignment horizontal="right"/>
    </xf>
    <xf numFmtId="165" fontId="0" fillId="0" borderId="0" xfId="0" applyNumberFormat="1" applyFont="1" applyFill="1" applyBorder="1" applyAlignment="1">
      <alignment horizontal="center"/>
    </xf>
    <xf numFmtId="0" fontId="6" fillId="0" borderId="0" xfId="0" applyFont="1" applyFill="1"/>
    <xf numFmtId="49" fontId="3" fillId="0" borderId="0" xfId="0" applyNumberFormat="1" applyFont="1" applyFill="1" applyBorder="1"/>
    <xf numFmtId="49" fontId="2" fillId="0" borderId="0" xfId="0" applyNumberFormat="1" applyFont="1" applyFill="1" applyBorder="1"/>
    <xf numFmtId="0" fontId="2" fillId="0" borderId="0" xfId="0" applyFont="1" applyFill="1" applyBorder="1" applyAlignment="1">
      <alignment wrapText="1"/>
    </xf>
    <xf numFmtId="0" fontId="2" fillId="0" borderId="0" xfId="0" applyFont="1" applyFill="1" applyBorder="1"/>
    <xf numFmtId="1" fontId="2" fillId="0" borderId="0" xfId="0" applyNumberFormat="1" applyFont="1" applyFill="1" applyBorder="1" applyAlignment="1">
      <alignment horizontal="center"/>
    </xf>
    <xf numFmtId="2" fontId="2" fillId="0" borderId="0" xfId="0" applyNumberFormat="1" applyFont="1" applyFill="1" applyBorder="1" applyAlignment="1">
      <alignment horizontal="center"/>
    </xf>
    <xf numFmtId="4" fontId="2" fillId="0" borderId="0" xfId="0" applyNumberFormat="1" applyFont="1" applyFill="1" applyBorder="1" applyAlignment="1">
      <alignment horizontal="right"/>
    </xf>
    <xf numFmtId="0" fontId="0" fillId="0" borderId="2" xfId="0" applyFont="1" applyFill="1" applyBorder="1"/>
    <xf numFmtId="2" fontId="0" fillId="0" borderId="2" xfId="0" applyNumberFormat="1" applyFill="1" applyBorder="1" applyAlignment="1">
      <alignment horizontal="center"/>
    </xf>
    <xf numFmtId="2" fontId="0" fillId="0" borderId="0" xfId="0" applyNumberFormat="1" applyFont="1" applyFill="1" applyBorder="1" applyAlignment="1">
      <alignment horizontal="center"/>
    </xf>
    <xf numFmtId="49" fontId="0" fillId="0" borderId="3" xfId="0" applyNumberFormat="1" applyFont="1" applyFill="1" applyBorder="1"/>
    <xf numFmtId="0" fontId="0" fillId="0" borderId="3" xfId="0" applyFont="1" applyFill="1" applyBorder="1"/>
    <xf numFmtId="1" fontId="0" fillId="0" borderId="3" xfId="0" applyNumberFormat="1" applyFont="1" applyFill="1" applyBorder="1" applyAlignment="1">
      <alignment horizontal="center"/>
    </xf>
    <xf numFmtId="2" fontId="0" fillId="0" borderId="3" xfId="0" applyNumberFormat="1" applyFill="1" applyBorder="1" applyAlignment="1">
      <alignment horizontal="center"/>
    </xf>
    <xf numFmtId="4" fontId="0" fillId="0" borderId="3" xfId="0" applyNumberFormat="1" applyFill="1" applyBorder="1"/>
    <xf numFmtId="165" fontId="0" fillId="0" borderId="3" xfId="0" applyNumberFormat="1" applyFont="1" applyFill="1" applyBorder="1" applyAlignment="1">
      <alignment horizontal="center"/>
    </xf>
    <xf numFmtId="4" fontId="0" fillId="0" borderId="3" xfId="0" applyNumberFormat="1" applyFill="1" applyBorder="1" applyAlignment="1">
      <alignment horizontal="right"/>
    </xf>
    <xf numFmtId="165" fontId="0" fillId="0" borderId="2" xfId="0" applyNumberFormat="1" applyFont="1" applyFill="1" applyBorder="1" applyAlignment="1">
      <alignment horizontal="center"/>
    </xf>
    <xf numFmtId="4" fontId="0" fillId="0" borderId="2" xfId="0" applyNumberFormat="1" applyFill="1" applyBorder="1" applyAlignment="1">
      <alignment horizontal="right"/>
    </xf>
    <xf numFmtId="0" fontId="0" fillId="0" borderId="0" xfId="0" applyFont="1" applyFill="1" applyBorder="1"/>
    <xf numFmtId="0" fontId="3" fillId="0" borderId="4" xfId="0" applyFont="1" applyFill="1" applyBorder="1" applyAlignment="1">
      <alignment horizontal="left"/>
    </xf>
    <xf numFmtId="0" fontId="3" fillId="0" borderId="5" xfId="0" applyFont="1" applyFill="1" applyBorder="1" applyAlignment="1">
      <alignment horizontal="left"/>
    </xf>
    <xf numFmtId="49" fontId="0" fillId="0" borderId="1" xfId="0" applyNumberFormat="1" applyFill="1" applyBorder="1"/>
    <xf numFmtId="49" fontId="0" fillId="0" borderId="3" xfId="0" applyNumberFormat="1" applyFill="1" applyBorder="1"/>
    <xf numFmtId="49" fontId="0" fillId="0" borderId="6" xfId="0" applyNumberFormat="1" applyFill="1" applyBorder="1"/>
    <xf numFmtId="0" fontId="0" fillId="0" borderId="1" xfId="0" applyFill="1" applyBorder="1" applyAlignment="1">
      <alignment wrapText="1"/>
    </xf>
    <xf numFmtId="0" fontId="0" fillId="0" borderId="3" xfId="0" applyFill="1" applyBorder="1" applyAlignment="1">
      <alignment wrapText="1"/>
    </xf>
    <xf numFmtId="0" fontId="0" fillId="0" borderId="2" xfId="0" applyFill="1" applyBorder="1" applyAlignment="1">
      <alignment wrapText="1"/>
    </xf>
    <xf numFmtId="0" fontId="0" fillId="0" borderId="6" xfId="0" applyFill="1" applyBorder="1" applyAlignment="1">
      <alignment wrapText="1"/>
    </xf>
    <xf numFmtId="2" fontId="0" fillId="0" borderId="6" xfId="0" applyNumberFormat="1" applyFill="1" applyBorder="1" applyAlignment="1">
      <alignment horizontal="center"/>
    </xf>
    <xf numFmtId="0" fontId="0" fillId="0" borderId="6" xfId="0" applyFill="1" applyBorder="1"/>
    <xf numFmtId="0" fontId="4" fillId="0" borderId="6" xfId="0" applyFont="1" applyFill="1" applyBorder="1" applyAlignment="1">
      <alignment wrapText="1"/>
    </xf>
    <xf numFmtId="0" fontId="2" fillId="0" borderId="0" xfId="0" applyFont="1" applyFill="1" applyBorder="1" applyAlignment="1">
      <alignment horizontal="left" wrapText="1"/>
    </xf>
    <xf numFmtId="0" fontId="0" fillId="0" borderId="6" xfId="0" applyFill="1" applyBorder="1" applyAlignment="1">
      <alignment horizontal="center"/>
    </xf>
    <xf numFmtId="166" fontId="0" fillId="0" borderId="6" xfId="0" applyNumberFormat="1" applyFill="1" applyBorder="1" applyAlignment="1">
      <alignment horizontal="center"/>
    </xf>
    <xf numFmtId="166" fontId="0" fillId="0" borderId="6" xfId="0" applyNumberFormat="1" applyFill="1" applyBorder="1" applyAlignment="1">
      <alignment horizontal="right"/>
    </xf>
    <xf numFmtId="3" fontId="0" fillId="0" borderId="0" xfId="0" applyNumberFormat="1" applyFill="1" applyBorder="1" applyAlignment="1">
      <alignment horizontal="right"/>
    </xf>
    <xf numFmtId="164" fontId="0" fillId="0" borderId="4" xfId="0" applyNumberFormat="1" applyFont="1" applyFill="1" applyBorder="1" applyAlignment="1">
      <alignment horizontal="center"/>
    </xf>
    <xf numFmtId="164" fontId="0" fillId="0" borderId="7" xfId="0" applyNumberFormat="1" applyFont="1" applyFill="1" applyBorder="1" applyAlignment="1">
      <alignment horizontal="center"/>
    </xf>
    <xf numFmtId="4" fontId="0" fillId="0" borderId="5" xfId="0" applyNumberFormat="1" applyFont="1" applyFill="1" applyBorder="1" applyAlignment="1">
      <alignment horizontal="center"/>
    </xf>
    <xf numFmtId="3" fontId="9" fillId="0" borderId="0" xfId="0" applyNumberFormat="1" applyFont="1" applyFill="1" applyBorder="1" applyAlignment="1">
      <alignment horizontal="left"/>
    </xf>
    <xf numFmtId="0" fontId="0" fillId="0" borderId="0" xfId="0" applyFill="1" applyBorder="1" applyAlignment="1">
      <alignment horizontal="center"/>
    </xf>
    <xf numFmtId="166" fontId="0" fillId="0" borderId="0" xfId="0" applyNumberFormat="1" applyFill="1" applyBorder="1" applyAlignment="1">
      <alignment horizontal="center"/>
    </xf>
    <xf numFmtId="0" fontId="3" fillId="0" borderId="6" xfId="0" applyFont="1" applyFill="1" applyBorder="1" applyAlignment="1">
      <alignment horizontal="center"/>
    </xf>
    <xf numFmtId="2" fontId="3" fillId="0" borderId="6" xfId="0" applyNumberFormat="1" applyFont="1" applyFill="1" applyBorder="1" applyAlignment="1">
      <alignment horizontal="center"/>
    </xf>
    <xf numFmtId="166" fontId="3" fillId="0" borderId="6" xfId="0" applyNumberFormat="1" applyFont="1" applyFill="1" applyBorder="1" applyAlignment="1">
      <alignment horizontal="center"/>
    </xf>
    <xf numFmtId="166" fontId="3" fillId="0" borderId="0" xfId="0" applyNumberFormat="1" applyFont="1" applyFill="1" applyBorder="1" applyAlignment="1">
      <alignment horizontal="right" wrapText="1"/>
    </xf>
    <xf numFmtId="0" fontId="8" fillId="0" borderId="6" xfId="0" applyFont="1" applyFill="1" applyBorder="1" applyAlignment="1">
      <alignment vertical="center" wrapText="1"/>
    </xf>
    <xf numFmtId="0" fontId="8" fillId="0" borderId="6" xfId="0" applyFont="1" applyFill="1" applyBorder="1" applyAlignment="1">
      <alignment horizontal="center" vertical="center"/>
    </xf>
    <xf numFmtId="2" fontId="8" fillId="0" borderId="6" xfId="0" applyNumberFormat="1" applyFont="1" applyFill="1" applyBorder="1" applyAlignment="1">
      <alignment horizontal="center" vertical="center"/>
    </xf>
    <xf numFmtId="166" fontId="8" fillId="0" borderId="6" xfId="0" applyNumberFormat="1" applyFont="1" applyFill="1" applyBorder="1" applyAlignment="1">
      <alignment horizontal="center" vertical="center"/>
    </xf>
    <xf numFmtId="166" fontId="8" fillId="0" borderId="6" xfId="0" applyNumberFormat="1" applyFont="1" applyFill="1" applyBorder="1" applyAlignment="1">
      <alignment vertical="center"/>
    </xf>
    <xf numFmtId="0" fontId="2" fillId="0" borderId="0" xfId="0" applyFont="1" applyFill="1" applyBorder="1" applyAlignment="1">
      <alignment horizontal="left"/>
    </xf>
    <xf numFmtId="0" fontId="6" fillId="0" borderId="0" xfId="0" applyFont="1" applyFill="1" applyBorder="1" applyAlignment="1">
      <alignment horizontal="center"/>
    </xf>
    <xf numFmtId="2" fontId="6" fillId="0" borderId="0" xfId="0" applyNumberFormat="1" applyFont="1" applyFill="1" applyBorder="1" applyAlignment="1">
      <alignment horizontal="center"/>
    </xf>
    <xf numFmtId="166" fontId="6" fillId="0" borderId="0" xfId="0" applyNumberFormat="1" applyFont="1" applyFill="1" applyBorder="1" applyAlignment="1">
      <alignment horizontal="center"/>
    </xf>
    <xf numFmtId="0" fontId="8" fillId="0" borderId="0" xfId="0" applyFont="1" applyFill="1" applyBorder="1" applyAlignment="1">
      <alignment vertical="center" wrapText="1"/>
    </xf>
    <xf numFmtId="0" fontId="8" fillId="0" borderId="0" xfId="0" applyFont="1" applyFill="1" applyBorder="1" applyAlignment="1">
      <alignment horizontal="center" vertical="center"/>
    </xf>
    <xf numFmtId="2" fontId="8" fillId="0" borderId="0" xfId="0" applyNumberFormat="1" applyFont="1" applyFill="1" applyBorder="1" applyAlignment="1">
      <alignment horizontal="center" vertical="center"/>
    </xf>
    <xf numFmtId="166" fontId="8" fillId="0" borderId="0" xfId="0" applyNumberFormat="1" applyFont="1" applyFill="1" applyBorder="1" applyAlignment="1">
      <alignment horizontal="center" vertical="center"/>
    </xf>
    <xf numFmtId="166" fontId="3" fillId="0" borderId="0" xfId="0" applyNumberFormat="1" applyFont="1" applyFill="1" applyBorder="1" applyAlignment="1">
      <alignment vertical="center"/>
    </xf>
    <xf numFmtId="165" fontId="0" fillId="0" borderId="0" xfId="0" applyNumberFormat="1" applyFill="1" applyBorder="1"/>
    <xf numFmtId="0" fontId="3" fillId="0" borderId="0" xfId="0" applyFont="1" applyFill="1" applyBorder="1" applyAlignment="1"/>
    <xf numFmtId="166" fontId="0" fillId="0" borderId="0" xfId="0" applyNumberFormat="1" applyFill="1" applyBorder="1" applyAlignment="1">
      <alignment horizontal="right"/>
    </xf>
    <xf numFmtId="49" fontId="3" fillId="0" borderId="0" xfId="0" applyNumberFormat="1" applyFont="1" applyBorder="1"/>
    <xf numFmtId="0" fontId="4" fillId="0" borderId="0" xfId="0" applyFont="1" applyBorder="1" applyAlignment="1">
      <alignment wrapText="1"/>
    </xf>
    <xf numFmtId="0" fontId="0" fillId="0" borderId="0" xfId="0" applyBorder="1"/>
    <xf numFmtId="1" fontId="0" fillId="0" borderId="0" xfId="0" applyNumberFormat="1" applyFill="1" applyBorder="1" applyAlignment="1">
      <alignment horizontal="center"/>
    </xf>
    <xf numFmtId="2" fontId="0" fillId="0" borderId="0" xfId="0" applyNumberFormat="1" applyBorder="1" applyAlignment="1">
      <alignment horizontal="center"/>
    </xf>
    <xf numFmtId="3" fontId="0" fillId="0" borderId="0" xfId="0" applyNumberFormat="1" applyBorder="1" applyAlignment="1">
      <alignment horizontal="right"/>
    </xf>
    <xf numFmtId="49" fontId="0" fillId="0" borderId="0" xfId="0" applyNumberFormat="1" applyBorder="1"/>
    <xf numFmtId="49" fontId="0" fillId="0" borderId="6" xfId="0" applyNumberFormat="1" applyBorder="1"/>
    <xf numFmtId="1" fontId="0" fillId="0" borderId="6" xfId="0" applyNumberFormat="1" applyFill="1" applyBorder="1" applyAlignment="1">
      <alignment horizontal="center"/>
    </xf>
    <xf numFmtId="3" fontId="0" fillId="0" borderId="6" xfId="0" applyNumberFormat="1" applyBorder="1" applyAlignment="1">
      <alignment horizontal="right"/>
    </xf>
    <xf numFmtId="0" fontId="0" fillId="0" borderId="6" xfId="0" applyBorder="1"/>
    <xf numFmtId="0" fontId="4" fillId="0" borderId="8" xfId="0" applyFont="1" applyFill="1" applyBorder="1" applyAlignment="1">
      <alignment wrapText="1"/>
    </xf>
    <xf numFmtId="0" fontId="8" fillId="0" borderId="0" xfId="0" applyFont="1" applyFill="1" applyBorder="1"/>
    <xf numFmtId="1" fontId="0" fillId="0" borderId="0" xfId="0" applyNumberFormat="1" applyBorder="1" applyAlignment="1">
      <alignment horizontal="center"/>
    </xf>
    <xf numFmtId="3" fontId="0" fillId="0" borderId="0" xfId="0" applyNumberFormat="1" applyBorder="1"/>
    <xf numFmtId="3" fontId="3" fillId="0" borderId="0" xfId="0" applyNumberFormat="1" applyFont="1" applyBorder="1" applyAlignment="1">
      <alignment horizontal="right" wrapText="1"/>
    </xf>
    <xf numFmtId="2" fontId="0" fillId="0" borderId="0" xfId="0" applyNumberFormat="1" applyFill="1" applyBorder="1"/>
    <xf numFmtId="2" fontId="3" fillId="0" borderId="0" xfId="0" applyNumberFormat="1" applyFont="1" applyFill="1" applyBorder="1" applyAlignment="1">
      <alignment horizontal="center"/>
    </xf>
    <xf numFmtId="2" fontId="0" fillId="0" borderId="0" xfId="0" applyNumberFormat="1" applyFont="1" applyFill="1" applyBorder="1"/>
    <xf numFmtId="0" fontId="0" fillId="0" borderId="10" xfId="0" applyFill="1" applyBorder="1" applyAlignment="1">
      <alignment wrapText="1"/>
    </xf>
    <xf numFmtId="0" fontId="0" fillId="0" borderId="10" xfId="0" applyFill="1" applyBorder="1" applyAlignment="1">
      <alignment horizontal="center"/>
    </xf>
    <xf numFmtId="49" fontId="0" fillId="0" borderId="11" xfId="0" applyNumberFormat="1" applyFill="1" applyBorder="1"/>
    <xf numFmtId="0" fontId="4" fillId="0" borderId="9" xfId="0" applyFont="1" applyFill="1" applyBorder="1" applyAlignment="1">
      <alignment wrapText="1"/>
    </xf>
    <xf numFmtId="49" fontId="0" fillId="0" borderId="12" xfId="0" applyNumberFormat="1" applyFill="1" applyBorder="1"/>
    <xf numFmtId="0" fontId="0" fillId="0" borderId="0" xfId="0" applyFill="1"/>
    <xf numFmtId="4" fontId="0" fillId="0" borderId="0" xfId="0" applyNumberFormat="1" applyFill="1" applyAlignment="1">
      <alignment horizontal="center"/>
    </xf>
    <xf numFmtId="0" fontId="1" fillId="0" borderId="0" xfId="0" applyFont="1" applyFill="1"/>
    <xf numFmtId="0" fontId="3" fillId="0" borderId="0" xfId="0" applyFont="1" applyFill="1"/>
    <xf numFmtId="0" fontId="0" fillId="0" borderId="0" xfId="0" applyFont="1" applyFill="1"/>
    <xf numFmtId="4" fontId="0" fillId="0" borderId="0" xfId="0" applyNumberFormat="1" applyFont="1" applyFill="1" applyAlignment="1">
      <alignment horizontal="center"/>
    </xf>
    <xf numFmtId="4" fontId="3" fillId="0" borderId="14" xfId="0" applyNumberFormat="1" applyFont="1" applyFill="1" applyBorder="1" applyAlignment="1">
      <alignment horizontal="center"/>
    </xf>
    <xf numFmtId="0" fontId="7" fillId="0" borderId="6" xfId="0" applyFont="1" applyFill="1" applyBorder="1" applyAlignment="1">
      <alignment wrapText="1"/>
    </xf>
    <xf numFmtId="0" fontId="8" fillId="0" borderId="6" xfId="0" applyFont="1" applyFill="1" applyBorder="1"/>
    <xf numFmtId="49" fontId="3" fillId="0" borderId="6" xfId="0" applyNumberFormat="1" applyFont="1" applyFill="1" applyBorder="1"/>
    <xf numFmtId="4" fontId="0" fillId="0" borderId="15" xfId="0" applyNumberFormat="1" applyFont="1" applyFill="1" applyBorder="1" applyAlignment="1">
      <alignment horizontal="center"/>
    </xf>
    <xf numFmtId="4" fontId="3" fillId="0" borderId="16" xfId="0" applyNumberFormat="1" applyFont="1" applyFill="1" applyBorder="1" applyAlignment="1">
      <alignment horizontal="center"/>
    </xf>
    <xf numFmtId="0" fontId="0" fillId="0" borderId="9" xfId="0" applyFill="1" applyBorder="1"/>
    <xf numFmtId="0" fontId="0" fillId="0" borderId="11" xfId="0" applyFill="1" applyBorder="1"/>
    <xf numFmtId="0" fontId="0" fillId="0" borderId="17" xfId="0" applyFill="1" applyBorder="1"/>
    <xf numFmtId="0" fontId="3" fillId="0" borderId="18" xfId="0" applyFont="1" applyFill="1" applyBorder="1" applyAlignment="1">
      <alignment horizontal="left"/>
    </xf>
    <xf numFmtId="0" fontId="3" fillId="0" borderId="11" xfId="0" applyFont="1" applyFill="1" applyBorder="1" applyAlignment="1">
      <alignment horizontal="left"/>
    </xf>
    <xf numFmtId="0" fontId="0" fillId="0" borderId="19" xfId="0" applyFill="1" applyBorder="1"/>
    <xf numFmtId="0" fontId="0" fillId="0" borderId="13" xfId="0" applyFill="1" applyBorder="1" applyAlignment="1">
      <alignment horizontal="center"/>
    </xf>
    <xf numFmtId="0" fontId="0" fillId="0" borderId="9" xfId="0" applyFill="1" applyBorder="1" applyAlignment="1">
      <alignment horizontal="center"/>
    </xf>
    <xf numFmtId="49" fontId="0" fillId="0" borderId="13" xfId="0" applyNumberFormat="1" applyFill="1" applyBorder="1"/>
    <xf numFmtId="0" fontId="0" fillId="0" borderId="22" xfId="0" applyFill="1" applyBorder="1" applyAlignment="1">
      <alignment wrapText="1"/>
    </xf>
    <xf numFmtId="0" fontId="3" fillId="0" borderId="23" xfId="0" applyFont="1" applyFill="1" applyBorder="1" applyAlignment="1">
      <alignment horizontal="left"/>
    </xf>
    <xf numFmtId="0" fontId="0" fillId="0" borderId="9" xfId="0" applyFill="1" applyBorder="1" applyAlignment="1">
      <alignment wrapText="1"/>
    </xf>
    <xf numFmtId="49" fontId="0" fillId="0" borderId="6" xfId="0" applyNumberFormat="1" applyFont="1" applyFill="1" applyBorder="1"/>
    <xf numFmtId="4" fontId="3" fillId="0" borderId="24" xfId="0" applyNumberFormat="1" applyFont="1" applyFill="1" applyBorder="1" applyAlignment="1">
      <alignment horizontal="center"/>
    </xf>
    <xf numFmtId="0" fontId="22" fillId="0" borderId="0" xfId="0" applyFont="1" applyFill="1" applyBorder="1"/>
    <xf numFmtId="2" fontId="23" fillId="0" borderId="0" xfId="0" applyNumberFormat="1" applyFont="1" applyFill="1" applyBorder="1" applyAlignment="1">
      <alignment horizontal="center"/>
    </xf>
    <xf numFmtId="166" fontId="3" fillId="0" borderId="0" xfId="0" applyNumberFormat="1" applyFont="1" applyFill="1" applyBorder="1" applyAlignment="1">
      <alignment horizontal="center"/>
    </xf>
    <xf numFmtId="0" fontId="6" fillId="0" borderId="0" xfId="0" applyFont="1" applyFill="1" applyBorder="1"/>
    <xf numFmtId="0" fontId="3" fillId="0" borderId="6" xfId="0" applyFont="1" applyFill="1" applyBorder="1" applyAlignment="1">
      <alignment horizontal="left"/>
    </xf>
    <xf numFmtId="0" fontId="0" fillId="0" borderId="0" xfId="0" applyFill="1" applyAlignment="1">
      <alignment wrapText="1"/>
    </xf>
    <xf numFmtId="0" fontId="0" fillId="0" borderId="25" xfId="0" applyFill="1" applyBorder="1" applyAlignment="1">
      <alignment horizontal="center"/>
    </xf>
    <xf numFmtId="0" fontId="3" fillId="0" borderId="25" xfId="0" applyFont="1" applyFill="1" applyBorder="1" applyAlignment="1">
      <alignment horizontal="left" wrapText="1"/>
    </xf>
    <xf numFmtId="0" fontId="0" fillId="0" borderId="0" xfId="0" applyFill="1" applyAlignment="1">
      <alignment horizontal="left" wrapText="1"/>
    </xf>
    <xf numFmtId="4" fontId="0" fillId="2" borderId="24" xfId="0" applyNumberFormat="1" applyFont="1" applyFill="1" applyBorder="1" applyAlignment="1">
      <alignment horizontal="center"/>
    </xf>
    <xf numFmtId="49" fontId="0" fillId="0" borderId="26" xfId="0" applyNumberFormat="1" applyFill="1" applyBorder="1"/>
    <xf numFmtId="49" fontId="0" fillId="0" borderId="27" xfId="0" applyNumberFormat="1" applyFill="1" applyBorder="1"/>
    <xf numFmtId="49" fontId="0" fillId="0" borderId="28" xfId="0" applyNumberFormat="1" applyFill="1" applyBorder="1"/>
    <xf numFmtId="49" fontId="0" fillId="0" borderId="29" xfId="0" applyNumberFormat="1" applyFill="1" applyBorder="1"/>
    <xf numFmtId="0" fontId="0" fillId="0" borderId="30" xfId="0" applyFill="1" applyBorder="1" applyAlignment="1">
      <alignment wrapText="1"/>
    </xf>
    <xf numFmtId="0" fontId="3" fillId="0" borderId="31" xfId="0" applyFont="1" applyFill="1" applyBorder="1" applyAlignment="1">
      <alignment horizontal="left"/>
    </xf>
    <xf numFmtId="0" fontId="3" fillId="0" borderId="32" xfId="0" applyFont="1" applyFill="1" applyBorder="1" applyAlignment="1">
      <alignment horizontal="left"/>
    </xf>
    <xf numFmtId="0" fontId="3" fillId="0" borderId="12" xfId="0" applyFont="1" applyFill="1" applyBorder="1" applyAlignment="1">
      <alignment horizontal="left"/>
    </xf>
    <xf numFmtId="0" fontId="0" fillId="0" borderId="8" xfId="0" applyFill="1" applyBorder="1"/>
    <xf numFmtId="49" fontId="0" fillId="0" borderId="0" xfId="0" applyNumberFormat="1" applyFill="1"/>
    <xf numFmtId="49" fontId="0" fillId="0" borderId="33" xfId="0" applyNumberFormat="1" applyFill="1" applyBorder="1"/>
    <xf numFmtId="49" fontId="3" fillId="0" borderId="11" xfId="0" applyNumberFormat="1" applyFont="1" applyFill="1" applyBorder="1"/>
    <xf numFmtId="0" fontId="3" fillId="0" borderId="25" xfId="0" applyFont="1" applyFill="1" applyBorder="1" applyAlignment="1">
      <alignment horizontal="left"/>
    </xf>
    <xf numFmtId="0" fontId="0" fillId="0" borderId="34" xfId="0" applyFill="1" applyBorder="1" applyAlignment="1">
      <alignment horizontal="center"/>
    </xf>
    <xf numFmtId="0" fontId="5" fillId="0" borderId="6" xfId="0" applyFont="1" applyFill="1" applyBorder="1" applyAlignment="1">
      <alignment horizontal="left" wrapText="1"/>
    </xf>
    <xf numFmtId="49" fontId="5" fillId="0" borderId="6" xfId="0" applyNumberFormat="1" applyFont="1" applyFill="1" applyBorder="1" applyAlignment="1">
      <alignment horizontal="left" wrapText="1"/>
    </xf>
    <xf numFmtId="0" fontId="0" fillId="0" borderId="13" xfId="0" applyFill="1" applyBorder="1" applyAlignment="1">
      <alignment wrapText="1"/>
    </xf>
    <xf numFmtId="0" fontId="0" fillId="0" borderId="36" xfId="0" applyFill="1" applyBorder="1" applyAlignment="1">
      <alignment wrapText="1"/>
    </xf>
    <xf numFmtId="0" fontId="3" fillId="0" borderId="0" xfId="0" applyFont="1" applyFill="1" applyAlignment="1">
      <alignment horizontal="left" wrapText="1"/>
    </xf>
    <xf numFmtId="0" fontId="3" fillId="0" borderId="0" xfId="0" applyFont="1" applyFill="1" applyAlignment="1">
      <alignment horizontal="right" wrapText="1"/>
    </xf>
    <xf numFmtId="0" fontId="0" fillId="0" borderId="22" xfId="0" applyFill="1" applyBorder="1" applyAlignment="1">
      <alignment horizontal="center"/>
    </xf>
    <xf numFmtId="0" fontId="0" fillId="0" borderId="38" xfId="0" applyFill="1" applyBorder="1" applyAlignment="1">
      <alignment horizontal="center"/>
    </xf>
    <xf numFmtId="49" fontId="0" fillId="0" borderId="39" xfId="0" applyNumberFormat="1" applyFill="1" applyBorder="1"/>
    <xf numFmtId="0" fontId="4" fillId="0" borderId="11" xfId="0" applyFont="1" applyFill="1" applyBorder="1" applyAlignment="1">
      <alignment wrapText="1"/>
    </xf>
    <xf numFmtId="49" fontId="0" fillId="0" borderId="40" xfId="0" applyNumberFormat="1" applyFill="1" applyBorder="1"/>
    <xf numFmtId="49" fontId="0" fillId="0" borderId="17" xfId="0" applyNumberFormat="1" applyFill="1" applyBorder="1"/>
    <xf numFmtId="0" fontId="0" fillId="0" borderId="33" xfId="0" applyFill="1" applyBorder="1" applyAlignment="1">
      <alignment horizontal="center"/>
    </xf>
    <xf numFmtId="49" fontId="3" fillId="0" borderId="0" xfId="0" applyNumberFormat="1" applyFont="1" applyFill="1"/>
    <xf numFmtId="0" fontId="2" fillId="0" borderId="0" xfId="0" applyFont="1" applyFill="1" applyAlignment="1">
      <alignment horizontal="left" wrapText="1"/>
    </xf>
    <xf numFmtId="0" fontId="0" fillId="0" borderId="6" xfId="0" applyFont="1" applyFill="1" applyBorder="1" applyAlignment="1">
      <alignment vertical="center" wrapText="1"/>
    </xf>
    <xf numFmtId="49" fontId="3" fillId="0" borderId="6" xfId="0" applyNumberFormat="1" applyFont="1" applyFill="1" applyBorder="1" applyAlignment="1"/>
    <xf numFmtId="0" fontId="0" fillId="0" borderId="6" xfId="0" applyFill="1" applyBorder="1" applyAlignment="1">
      <alignment horizontal="left" wrapText="1"/>
    </xf>
    <xf numFmtId="49" fontId="0" fillId="0" borderId="10" xfId="0" applyNumberFormat="1" applyFill="1" applyBorder="1"/>
    <xf numFmtId="49" fontId="0" fillId="0" borderId="0" xfId="0" applyNumberFormat="1" applyFont="1" applyFill="1"/>
    <xf numFmtId="0" fontId="0" fillId="0" borderId="30" xfId="0" applyFill="1" applyBorder="1"/>
    <xf numFmtId="0" fontId="17" fillId="0" borderId="6" xfId="9" applyFill="1" applyBorder="1" applyAlignment="1">
      <alignment horizontal="center" wrapText="1"/>
    </xf>
    <xf numFmtId="0" fontId="17" fillId="0" borderId="6" xfId="9" applyFill="1" applyBorder="1" applyAlignment="1">
      <alignment vertical="top" wrapText="1"/>
    </xf>
    <xf numFmtId="49" fontId="0" fillId="0" borderId="10" xfId="0" applyNumberFormat="1" applyFont="1" applyFill="1" applyBorder="1"/>
    <xf numFmtId="0" fontId="3" fillId="0" borderId="9" xfId="0" applyFont="1" applyFill="1" applyBorder="1" applyAlignment="1">
      <alignment wrapText="1"/>
    </xf>
    <xf numFmtId="0" fontId="0" fillId="0" borderId="11" xfId="7" applyFont="1" applyFill="1" applyBorder="1" applyAlignment="1">
      <alignment vertical="top" wrapText="1"/>
    </xf>
    <xf numFmtId="0" fontId="8" fillId="0" borderId="6" xfId="9" applyFont="1" applyFill="1" applyBorder="1" applyAlignment="1">
      <alignment horizontal="center" wrapText="1"/>
    </xf>
    <xf numFmtId="0" fontId="8" fillId="0" borderId="6" xfId="6" applyFont="1" applyFill="1" applyBorder="1" applyAlignment="1">
      <alignment horizontal="center" wrapText="1"/>
    </xf>
    <xf numFmtId="0" fontId="5" fillId="0" borderId="6" xfId="7" applyFont="1" applyFill="1" applyBorder="1" applyAlignment="1">
      <alignment horizontal="center"/>
    </xf>
    <xf numFmtId="0" fontId="0" fillId="0" borderId="6" xfId="7" applyFont="1" applyFill="1" applyBorder="1" applyAlignment="1">
      <alignment vertical="top" wrapText="1"/>
    </xf>
    <xf numFmtId="0" fontId="0" fillId="0" borderId="23" xfId="0" applyFill="1" applyBorder="1" applyAlignment="1">
      <alignment horizontal="center"/>
    </xf>
    <xf numFmtId="0" fontId="0" fillId="0" borderId="11" xfId="0" applyFill="1" applyBorder="1" applyAlignment="1">
      <alignment horizontal="center"/>
    </xf>
    <xf numFmtId="0" fontId="18" fillId="0" borderId="0" xfId="0" applyFont="1"/>
    <xf numFmtId="0" fontId="19" fillId="0" borderId="0" xfId="0" applyFont="1"/>
    <xf numFmtId="0" fontId="8" fillId="0" borderId="0" xfId="9" applyFont="1" applyAlignment="1">
      <alignment horizontal="center" vertical="top"/>
    </xf>
    <xf numFmtId="0" fontId="8" fillId="0" borderId="0" xfId="9" applyFont="1" applyAlignment="1">
      <alignment wrapText="1"/>
    </xf>
    <xf numFmtId="4" fontId="0" fillId="0" borderId="0" xfId="0" applyNumberFormat="1" applyAlignment="1">
      <alignment horizontal="center"/>
    </xf>
    <xf numFmtId="0" fontId="2" fillId="0" borderId="0" xfId="9" applyFont="1" applyAlignment="1">
      <alignment horizontal="center" vertical="top"/>
    </xf>
    <xf numFmtId="2" fontId="20" fillId="0" borderId="0" xfId="9" applyNumberFormat="1" applyFont="1" applyAlignment="1">
      <alignment vertical="top" wrapText="1"/>
    </xf>
    <xf numFmtId="0" fontId="0" fillId="0" borderId="6" xfId="0" applyBorder="1" applyAlignment="1">
      <alignment horizontal="center"/>
    </xf>
    <xf numFmtId="0" fontId="7" fillId="0" borderId="6" xfId="0" applyFont="1" applyBorder="1" applyAlignment="1">
      <alignment wrapText="1"/>
    </xf>
    <xf numFmtId="0" fontId="4" fillId="0" borderId="0" xfId="0" applyFont="1" applyAlignment="1">
      <alignment horizontal="left" wrapText="1"/>
    </xf>
    <xf numFmtId="0" fontId="0" fillId="0" borderId="0" xfId="0" applyAlignment="1">
      <alignment horizontal="center"/>
    </xf>
    <xf numFmtId="0" fontId="4" fillId="0" borderId="0" xfId="0" applyFont="1" applyAlignment="1">
      <alignment wrapText="1"/>
    </xf>
    <xf numFmtId="0" fontId="0" fillId="0" borderId="30" xfId="0" applyBorder="1" applyAlignment="1">
      <alignment wrapText="1"/>
    </xf>
    <xf numFmtId="0" fontId="0" fillId="0" borderId="30" xfId="0" applyFont="1" applyBorder="1" applyAlignment="1">
      <alignment horizontal="justify" vertical="center"/>
    </xf>
    <xf numFmtId="49" fontId="0" fillId="0" borderId="42" xfId="0" applyNumberFormat="1" applyFill="1" applyBorder="1"/>
    <xf numFmtId="0" fontId="8" fillId="0" borderId="6" xfId="0" applyFont="1" applyFill="1" applyBorder="1" applyAlignment="1">
      <alignment wrapText="1"/>
    </xf>
    <xf numFmtId="49" fontId="4" fillId="0" borderId="6" xfId="0" applyNumberFormat="1" applyFont="1" applyFill="1" applyBorder="1"/>
    <xf numFmtId="0" fontId="0" fillId="0" borderId="25" xfId="0" applyFill="1" applyBorder="1" applyAlignment="1">
      <alignment wrapText="1"/>
    </xf>
    <xf numFmtId="0" fontId="0" fillId="0" borderId="8" xfId="0" applyFill="1" applyBorder="1" applyAlignment="1">
      <alignment horizontal="center"/>
    </xf>
    <xf numFmtId="49" fontId="5" fillId="0" borderId="0" xfId="0" applyNumberFormat="1" applyFont="1" applyFill="1" applyBorder="1" applyAlignment="1">
      <alignment horizontal="left" wrapText="1"/>
    </xf>
    <xf numFmtId="0" fontId="0" fillId="0" borderId="8" xfId="0" applyFill="1" applyBorder="1" applyAlignment="1">
      <alignment wrapText="1"/>
    </xf>
    <xf numFmtId="0" fontId="0" fillId="0" borderId="11" xfId="0" applyFill="1" applyBorder="1" applyAlignment="1">
      <alignment horizontal="left" wrapText="1"/>
    </xf>
    <xf numFmtId="0" fontId="8" fillId="0" borderId="9" xfId="9" applyFont="1" applyFill="1" applyBorder="1" applyAlignment="1">
      <alignment horizontal="center" wrapText="1"/>
    </xf>
    <xf numFmtId="0" fontId="2" fillId="0" borderId="43" xfId="0" applyFont="1" applyFill="1" applyBorder="1" applyAlignment="1">
      <alignment horizontal="center" wrapText="1"/>
    </xf>
    <xf numFmtId="0" fontId="2" fillId="0" borderId="8" xfId="0" applyFont="1" applyFill="1" applyBorder="1" applyAlignment="1">
      <alignment horizontal="center" wrapText="1"/>
    </xf>
    <xf numFmtId="0" fontId="0" fillId="0" borderId="44" xfId="0" applyFill="1" applyBorder="1"/>
    <xf numFmtId="168" fontId="0" fillId="0" borderId="0" xfId="0" applyNumberFormat="1" applyFill="1" applyAlignment="1">
      <alignment horizontal="right"/>
    </xf>
    <xf numFmtId="168" fontId="0" fillId="0" borderId="6" xfId="0" applyNumberFormat="1" applyBorder="1" applyAlignment="1">
      <alignment horizontal="center"/>
    </xf>
    <xf numFmtId="168" fontId="0" fillId="0" borderId="6" xfId="0" applyNumberFormat="1" applyBorder="1" applyAlignment="1">
      <alignment horizontal="right"/>
    </xf>
    <xf numFmtId="168" fontId="0" fillId="0" borderId="6" xfId="0" applyNumberFormat="1" applyFill="1" applyBorder="1" applyAlignment="1">
      <alignment horizontal="center"/>
    </xf>
    <xf numFmtId="168" fontId="0" fillId="0" borderId="6" xfId="0" applyNumberFormat="1" applyFill="1" applyBorder="1" applyAlignment="1">
      <alignment horizontal="right"/>
    </xf>
    <xf numFmtId="168" fontId="3" fillId="0" borderId="6" xfId="0" applyNumberFormat="1" applyFont="1" applyFill="1" applyBorder="1" applyAlignment="1">
      <alignment horizontal="right" wrapText="1"/>
    </xf>
    <xf numFmtId="168" fontId="0" fillId="0" borderId="49" xfId="0" applyNumberFormat="1" applyBorder="1" applyAlignment="1">
      <alignment horizontal="center"/>
    </xf>
    <xf numFmtId="168" fontId="0" fillId="0" borderId="49" xfId="0" applyNumberFormat="1" applyFill="1" applyBorder="1" applyAlignment="1">
      <alignment horizontal="center"/>
    </xf>
    <xf numFmtId="168" fontId="0" fillId="0" borderId="0" xfId="0" applyNumberFormat="1" applyFill="1" applyBorder="1" applyAlignment="1">
      <alignment horizontal="right"/>
    </xf>
    <xf numFmtId="168" fontId="0" fillId="0" borderId="49" xfId="0" applyNumberFormat="1" applyFill="1" applyBorder="1" applyAlignment="1">
      <alignment horizontal="right"/>
    </xf>
    <xf numFmtId="168" fontId="0" fillId="0" borderId="38" xfId="0" applyNumberFormat="1" applyFill="1" applyBorder="1" applyAlignment="1">
      <alignment horizontal="right"/>
    </xf>
    <xf numFmtId="168" fontId="0" fillId="0" borderId="50" xfId="0" applyNumberFormat="1" applyFill="1" applyBorder="1" applyAlignment="1">
      <alignment horizontal="right"/>
    </xf>
    <xf numFmtId="168" fontId="0" fillId="0" borderId="7" xfId="0" applyNumberFormat="1" applyFill="1" applyBorder="1" applyAlignment="1">
      <alignment horizontal="right"/>
    </xf>
    <xf numFmtId="168" fontId="0" fillId="0" borderId="51" xfId="0" applyNumberFormat="1" applyFill="1" applyBorder="1" applyAlignment="1">
      <alignment horizontal="right"/>
    </xf>
    <xf numFmtId="168" fontId="0" fillId="0" borderId="52" xfId="0" applyNumberFormat="1" applyFill="1" applyBorder="1" applyAlignment="1">
      <alignment horizontal="right"/>
    </xf>
    <xf numFmtId="168" fontId="0" fillId="0" borderId="13" xfId="0" applyNumberFormat="1" applyFill="1" applyBorder="1" applyAlignment="1">
      <alignment horizontal="right"/>
    </xf>
    <xf numFmtId="168" fontId="0" fillId="0" borderId="53" xfId="0" applyNumberFormat="1" applyFill="1" applyBorder="1" applyAlignment="1">
      <alignment horizontal="right"/>
    </xf>
    <xf numFmtId="168" fontId="0" fillId="0" borderId="54" xfId="0" applyNumberFormat="1" applyFill="1" applyBorder="1" applyAlignment="1">
      <alignment horizontal="right"/>
    </xf>
    <xf numFmtId="168" fontId="0" fillId="0" borderId="30" xfId="0" applyNumberFormat="1" applyFill="1" applyBorder="1" applyAlignment="1">
      <alignment horizontal="right"/>
    </xf>
    <xf numFmtId="168" fontId="0" fillId="0" borderId="55" xfId="0" applyNumberFormat="1" applyFill="1" applyBorder="1" applyAlignment="1">
      <alignment horizontal="right"/>
    </xf>
    <xf numFmtId="168" fontId="0" fillId="0" borderId="17" xfId="0" applyNumberFormat="1" applyFill="1" applyBorder="1" applyAlignment="1">
      <alignment horizontal="right"/>
    </xf>
    <xf numFmtId="168" fontId="3" fillId="0" borderId="56" xfId="0" applyNumberFormat="1" applyFont="1" applyFill="1" applyBorder="1" applyAlignment="1">
      <alignment horizontal="right" wrapText="1"/>
    </xf>
    <xf numFmtId="168" fontId="3" fillId="0" borderId="0" xfId="0" applyNumberFormat="1" applyFont="1" applyFill="1" applyAlignment="1">
      <alignment horizontal="right" wrapText="1"/>
    </xf>
    <xf numFmtId="168" fontId="0" fillId="0" borderId="4" xfId="0" applyNumberFormat="1" applyFill="1" applyBorder="1" applyAlignment="1">
      <alignment horizontal="right"/>
    </xf>
    <xf numFmtId="168" fontId="0" fillId="0" borderId="57" xfId="0" applyNumberFormat="1" applyFill="1" applyBorder="1" applyAlignment="1">
      <alignment horizontal="right"/>
    </xf>
    <xf numFmtId="168" fontId="0" fillId="0" borderId="1" xfId="0" applyNumberFormat="1" applyFill="1" applyBorder="1" applyAlignment="1">
      <alignment horizontal="right"/>
    </xf>
    <xf numFmtId="168" fontId="0" fillId="0" borderId="2" xfId="0" applyNumberFormat="1" applyFill="1" applyBorder="1" applyAlignment="1">
      <alignment horizontal="right"/>
    </xf>
    <xf numFmtId="168" fontId="0" fillId="0" borderId="58" xfId="0" applyNumberFormat="1" applyFill="1" applyBorder="1" applyAlignment="1">
      <alignment horizontal="right"/>
    </xf>
    <xf numFmtId="168" fontId="0" fillId="0" borderId="36" xfId="0" applyNumberFormat="1" applyFill="1" applyBorder="1" applyAlignment="1">
      <alignment horizontal="right"/>
    </xf>
    <xf numFmtId="168" fontId="0" fillId="0" borderId="59" xfId="0" applyNumberFormat="1" applyFill="1" applyBorder="1" applyAlignment="1">
      <alignment horizontal="right"/>
    </xf>
    <xf numFmtId="168" fontId="0" fillId="0" borderId="22" xfId="0" applyNumberFormat="1" applyFill="1" applyBorder="1" applyAlignment="1">
      <alignment horizontal="right"/>
    </xf>
    <xf numFmtId="168" fontId="0" fillId="0" borderId="60" xfId="0" applyNumberFormat="1" applyFill="1" applyBorder="1" applyAlignment="1">
      <alignment horizontal="right"/>
    </xf>
    <xf numFmtId="168" fontId="0" fillId="0" borderId="11" xfId="0" applyNumberFormat="1" applyFill="1" applyBorder="1" applyAlignment="1">
      <alignment horizontal="right"/>
    </xf>
    <xf numFmtId="168" fontId="3" fillId="0" borderId="30" xfId="0" applyNumberFormat="1" applyFont="1" applyFill="1" applyBorder="1" applyAlignment="1">
      <alignment horizontal="right" wrapText="1"/>
    </xf>
    <xf numFmtId="168" fontId="0" fillId="0" borderId="61" xfId="0" applyNumberFormat="1" applyFill="1" applyBorder="1" applyAlignment="1">
      <alignment horizontal="right"/>
    </xf>
    <xf numFmtId="168" fontId="0" fillId="0" borderId="3" xfId="0" applyNumberFormat="1" applyFill="1" applyBorder="1" applyAlignment="1">
      <alignment horizontal="right"/>
    </xf>
    <xf numFmtId="168" fontId="0" fillId="0" borderId="62" xfId="0" applyNumberFormat="1" applyFill="1" applyBorder="1" applyAlignment="1">
      <alignment horizontal="right"/>
    </xf>
    <xf numFmtId="168" fontId="0" fillId="0" borderId="9" xfId="0" applyNumberFormat="1" applyFill="1" applyBorder="1" applyAlignment="1">
      <alignment horizontal="right"/>
    </xf>
    <xf numFmtId="168" fontId="0" fillId="0" borderId="29" xfId="0" applyNumberFormat="1" applyFill="1" applyBorder="1" applyAlignment="1">
      <alignment horizontal="right"/>
    </xf>
    <xf numFmtId="168" fontId="0" fillId="0" borderId="25" xfId="0" applyNumberFormat="1" applyFill="1" applyBorder="1" applyAlignment="1">
      <alignment horizontal="right"/>
    </xf>
    <xf numFmtId="168" fontId="0" fillId="0" borderId="63" xfId="0" applyNumberFormat="1" applyFill="1" applyBorder="1" applyAlignment="1">
      <alignment horizontal="right"/>
    </xf>
    <xf numFmtId="168" fontId="3" fillId="0" borderId="0" xfId="0" applyNumberFormat="1" applyFont="1" applyFill="1" applyBorder="1" applyAlignment="1">
      <alignment horizontal="right" wrapText="1"/>
    </xf>
    <xf numFmtId="168" fontId="3" fillId="0" borderId="49" xfId="0" applyNumberFormat="1" applyFont="1" applyFill="1" applyBorder="1" applyAlignment="1">
      <alignment horizontal="right" wrapText="1"/>
    </xf>
    <xf numFmtId="168" fontId="0" fillId="0" borderId="64" xfId="0" applyNumberFormat="1" applyFill="1" applyBorder="1" applyAlignment="1">
      <alignment horizontal="right"/>
    </xf>
    <xf numFmtId="168" fontId="0" fillId="0" borderId="23" xfId="0" applyNumberFormat="1" applyFill="1" applyBorder="1" applyAlignment="1">
      <alignment horizontal="right"/>
    </xf>
    <xf numFmtId="168" fontId="0" fillId="0" borderId="8" xfId="0" applyNumberFormat="1" applyFill="1" applyBorder="1" applyAlignment="1">
      <alignment horizontal="right"/>
    </xf>
    <xf numFmtId="168" fontId="0" fillId="0" borderId="34" xfId="0" applyNumberFormat="1" applyFill="1" applyBorder="1" applyAlignment="1">
      <alignment horizontal="right"/>
    </xf>
    <xf numFmtId="168" fontId="0" fillId="0" borderId="56" xfId="0" applyNumberFormat="1" applyFill="1" applyBorder="1" applyAlignment="1">
      <alignment horizontal="right"/>
    </xf>
    <xf numFmtId="168" fontId="8" fillId="0" borderId="6" xfId="0" applyNumberFormat="1" applyFont="1" applyFill="1" applyBorder="1" applyAlignment="1">
      <alignment horizontal="right" vertical="center"/>
    </xf>
    <xf numFmtId="168" fontId="3" fillId="0" borderId="9" xfId="0" applyNumberFormat="1" applyFont="1" applyFill="1" applyBorder="1" applyAlignment="1">
      <alignment wrapText="1"/>
    </xf>
    <xf numFmtId="168" fontId="3" fillId="0" borderId="6" xfId="0" applyNumberFormat="1" applyFont="1" applyFill="1" applyBorder="1" applyAlignment="1">
      <alignment horizontal="left"/>
    </xf>
    <xf numFmtId="168" fontId="0" fillId="0" borderId="35" xfId="0" applyNumberFormat="1" applyFill="1" applyBorder="1" applyAlignment="1">
      <alignment horizontal="right"/>
    </xf>
    <xf numFmtId="168" fontId="3" fillId="0" borderId="65" xfId="0" applyNumberFormat="1" applyFont="1" applyFill="1" applyBorder="1" applyAlignment="1">
      <alignment horizontal="right" wrapText="1"/>
    </xf>
    <xf numFmtId="168" fontId="3" fillId="0" borderId="66" xfId="0" applyNumberFormat="1" applyFont="1" applyFill="1" applyBorder="1" applyAlignment="1">
      <alignment horizontal="right" wrapText="1"/>
    </xf>
    <xf numFmtId="168" fontId="3" fillId="0" borderId="67" xfId="0" applyNumberFormat="1" applyFont="1" applyFill="1" applyBorder="1" applyAlignment="1">
      <alignment horizontal="right" wrapText="1"/>
    </xf>
    <xf numFmtId="168" fontId="0" fillId="0" borderId="45" xfId="0" applyNumberFormat="1" applyFill="1" applyBorder="1" applyAlignment="1">
      <alignment horizontal="right"/>
    </xf>
    <xf numFmtId="168" fontId="3" fillId="0" borderId="69" xfId="0" applyNumberFormat="1" applyFont="1" applyFill="1" applyBorder="1" applyAlignment="1">
      <alignment horizontal="right" wrapText="1"/>
    </xf>
    <xf numFmtId="168" fontId="0" fillId="0" borderId="0" xfId="0" applyNumberFormat="1" applyAlignment="1">
      <alignment horizontal="right"/>
    </xf>
    <xf numFmtId="168" fontId="3" fillId="0" borderId="9" xfId="0" applyNumberFormat="1" applyFont="1" applyFill="1" applyBorder="1" applyAlignment="1">
      <alignment horizontal="right" wrapText="1"/>
    </xf>
    <xf numFmtId="168" fontId="3" fillId="0" borderId="6" xfId="0" applyNumberFormat="1" applyFont="1" applyFill="1" applyBorder="1" applyAlignment="1">
      <alignment horizontal="right"/>
    </xf>
    <xf numFmtId="168" fontId="8" fillId="0" borderId="6" xfId="9" applyNumberFormat="1" applyFont="1" applyFill="1" applyBorder="1" applyAlignment="1">
      <alignment horizontal="right"/>
    </xf>
    <xf numFmtId="168" fontId="8" fillId="0" borderId="9" xfId="9" applyNumberFormat="1" applyFont="1" applyFill="1" applyBorder="1" applyAlignment="1">
      <alignment horizontal="right"/>
    </xf>
    <xf numFmtId="49" fontId="8" fillId="3" borderId="46" xfId="0" applyNumberFormat="1" applyFont="1" applyFill="1" applyBorder="1"/>
    <xf numFmtId="0" fontId="2" fillId="3" borderId="47" xfId="0" applyFont="1" applyFill="1" applyBorder="1" applyAlignment="1">
      <alignment horizontal="right" wrapText="1"/>
    </xf>
    <xf numFmtId="0" fontId="6" fillId="3" borderId="48" xfId="0" applyFont="1" applyFill="1" applyBorder="1"/>
    <xf numFmtId="168" fontId="6" fillId="3" borderId="47" xfId="0" applyNumberFormat="1" applyFont="1" applyFill="1" applyBorder="1" applyAlignment="1">
      <alignment horizontal="right"/>
    </xf>
    <xf numFmtId="168" fontId="2" fillId="3" borderId="68" xfId="0" applyNumberFormat="1" applyFont="1" applyFill="1" applyBorder="1" applyAlignment="1">
      <alignment horizontal="right" wrapText="1"/>
    </xf>
    <xf numFmtId="0" fontId="6" fillId="3" borderId="20" xfId="0" applyFont="1" applyFill="1" applyBorder="1"/>
    <xf numFmtId="168" fontId="24" fillId="3" borderId="21" xfId="0" applyNumberFormat="1" applyFont="1" applyFill="1" applyBorder="1" applyAlignment="1">
      <alignment horizontal="right"/>
    </xf>
    <xf numFmtId="168" fontId="2" fillId="3" borderId="70" xfId="0" applyNumberFormat="1" applyFont="1" applyFill="1" applyBorder="1" applyAlignment="1">
      <alignment horizontal="right" wrapText="1"/>
    </xf>
    <xf numFmtId="168" fontId="0" fillId="0" borderId="0" xfId="0" applyNumberFormat="1" applyFill="1" applyBorder="1"/>
    <xf numFmtId="4" fontId="0" fillId="2" borderId="85" xfId="0" applyNumberFormat="1" applyFont="1" applyFill="1" applyBorder="1" applyAlignment="1">
      <alignment horizontal="center"/>
    </xf>
    <xf numFmtId="0" fontId="3" fillId="0" borderId="0" xfId="0" applyFont="1" applyFill="1" applyBorder="1" applyAlignment="1">
      <alignment horizontal="left" wrapText="1"/>
    </xf>
    <xf numFmtId="0" fontId="1" fillId="0" borderId="0" xfId="0" applyFont="1" applyFill="1" applyBorder="1" applyAlignment="1">
      <alignment horizontal="left" wrapText="1"/>
    </xf>
    <xf numFmtId="0" fontId="2" fillId="0" borderId="0" xfId="0" applyFont="1" applyFill="1" applyBorder="1" applyAlignment="1">
      <alignment horizontal="left" wrapText="1"/>
    </xf>
    <xf numFmtId="0" fontId="3" fillId="0" borderId="1" xfId="0" applyFont="1" applyFill="1" applyBorder="1" applyAlignment="1">
      <alignment horizontal="left" wrapText="1"/>
    </xf>
    <xf numFmtId="49" fontId="3" fillId="0" borderId="0" xfId="0" applyNumberFormat="1" applyFont="1" applyFill="1" applyBorder="1" applyAlignment="1">
      <alignment horizontal="left"/>
    </xf>
    <xf numFmtId="0" fontId="3" fillId="0" borderId="0" xfId="0" applyFont="1" applyBorder="1" applyAlignment="1">
      <alignment horizontal="left" wrapText="1"/>
    </xf>
    <xf numFmtId="0" fontId="3" fillId="0" borderId="25" xfId="0" applyFont="1" applyFill="1" applyBorder="1" applyAlignment="1">
      <alignment horizontal="left" wrapText="1"/>
    </xf>
    <xf numFmtId="0" fontId="3" fillId="0" borderId="6" xfId="0" applyFont="1" applyFill="1" applyBorder="1" applyAlignment="1">
      <alignment horizontal="left"/>
    </xf>
    <xf numFmtId="0" fontId="8" fillId="0" borderId="0" xfId="9" applyFont="1" applyAlignment="1">
      <alignment horizontal="left" vertical="top" wrapText="1"/>
    </xf>
    <xf numFmtId="0" fontId="0" fillId="0" borderId="0" xfId="9" applyFont="1" applyAlignment="1">
      <alignment horizontal="left" vertical="top" wrapText="1"/>
    </xf>
    <xf numFmtId="2" fontId="2" fillId="0" borderId="0" xfId="9" applyNumberFormat="1" applyFont="1" applyAlignment="1">
      <alignment horizontal="left" vertical="top" wrapText="1"/>
    </xf>
    <xf numFmtId="0" fontId="0" fillId="0" borderId="71" xfId="0" applyFont="1" applyFill="1" applyBorder="1" applyAlignment="1">
      <alignment wrapText="1"/>
    </xf>
    <xf numFmtId="0" fontId="3" fillId="0" borderId="72" xfId="0" applyFont="1" applyFill="1" applyBorder="1" applyAlignment="1"/>
    <xf numFmtId="0" fontId="3" fillId="0" borderId="73" xfId="0" applyFont="1" applyFill="1" applyBorder="1" applyAlignment="1"/>
    <xf numFmtId="0" fontId="0" fillId="0" borderId="74" xfId="0" applyFont="1" applyFill="1" applyBorder="1" applyAlignment="1"/>
    <xf numFmtId="0" fontId="0" fillId="0" borderId="75" xfId="0" applyFont="1" applyFill="1" applyBorder="1" applyAlignment="1"/>
    <xf numFmtId="0" fontId="0" fillId="0" borderId="86" xfId="0" applyFont="1" applyFill="1" applyBorder="1" applyAlignment="1">
      <alignment wrapText="1"/>
    </xf>
    <xf numFmtId="0" fontId="2" fillId="3" borderId="81" xfId="0" applyFont="1" applyFill="1" applyBorder="1" applyAlignment="1">
      <alignment horizontal="right" wrapText="1"/>
    </xf>
    <xf numFmtId="0" fontId="2" fillId="3" borderId="82" xfId="0" applyFont="1" applyFill="1" applyBorder="1" applyAlignment="1">
      <alignment horizontal="right" wrapText="1"/>
    </xf>
    <xf numFmtId="0" fontId="3" fillId="0" borderId="11" xfId="0" applyFont="1" applyFill="1" applyBorder="1" applyAlignment="1">
      <alignment horizontal="right" wrapText="1"/>
    </xf>
    <xf numFmtId="0" fontId="3" fillId="0" borderId="9" xfId="0" applyFont="1" applyFill="1" applyBorder="1" applyAlignment="1">
      <alignment horizontal="right" wrapText="1"/>
    </xf>
    <xf numFmtId="0" fontId="3" fillId="0" borderId="18" xfId="0" applyFont="1" applyFill="1" applyBorder="1" applyAlignment="1">
      <alignment horizontal="left" wrapText="1"/>
    </xf>
    <xf numFmtId="0" fontId="3" fillId="0" borderId="11" xfId="0" applyFont="1" applyFill="1" applyBorder="1" applyAlignment="1">
      <alignment horizontal="left" wrapText="1"/>
    </xf>
    <xf numFmtId="0" fontId="3" fillId="0" borderId="83" xfId="0" applyFont="1" applyFill="1" applyBorder="1" applyAlignment="1">
      <alignment horizontal="left" wrapText="1"/>
    </xf>
    <xf numFmtId="0" fontId="3" fillId="0" borderId="84" xfId="0" applyFont="1" applyFill="1" applyBorder="1" applyAlignment="1">
      <alignment horizontal="left" wrapText="1"/>
    </xf>
    <xf numFmtId="49" fontId="3" fillId="0" borderId="11" xfId="0" applyNumberFormat="1" applyFont="1" applyFill="1" applyBorder="1" applyAlignment="1">
      <alignment horizontal="left"/>
    </xf>
    <xf numFmtId="49" fontId="3" fillId="0" borderId="9" xfId="0" applyNumberFormat="1" applyFont="1" applyFill="1" applyBorder="1" applyAlignment="1">
      <alignment horizontal="left"/>
    </xf>
    <xf numFmtId="49" fontId="3" fillId="0" borderId="6" xfId="0" applyNumberFormat="1" applyFont="1" applyFill="1" applyBorder="1" applyAlignment="1">
      <alignment horizontal="left"/>
    </xf>
    <xf numFmtId="0" fontId="4" fillId="0" borderId="11" xfId="0" applyFont="1" applyFill="1" applyBorder="1" applyAlignment="1">
      <alignment horizontal="left" wrapText="1"/>
    </xf>
    <xf numFmtId="0" fontId="4" fillId="0" borderId="9" xfId="0" applyFont="1" applyFill="1" applyBorder="1" applyAlignment="1">
      <alignment horizontal="left" wrapText="1"/>
    </xf>
    <xf numFmtId="0" fontId="4" fillId="0" borderId="30" xfId="0" applyFont="1" applyFill="1" applyBorder="1" applyAlignment="1">
      <alignment horizontal="left" wrapText="1"/>
    </xf>
    <xf numFmtId="49" fontId="3" fillId="0" borderId="30" xfId="0" applyNumberFormat="1" applyFont="1" applyFill="1" applyBorder="1" applyAlignment="1">
      <alignment horizontal="left"/>
    </xf>
    <xf numFmtId="0" fontId="1" fillId="0" borderId="0" xfId="0" applyFont="1" applyFill="1" applyAlignment="1">
      <alignment horizontal="left" wrapText="1"/>
    </xf>
    <xf numFmtId="0" fontId="2" fillId="0" borderId="0" xfId="0" applyFont="1" applyFill="1" applyAlignment="1">
      <alignment horizontal="left" wrapText="1"/>
    </xf>
    <xf numFmtId="0" fontId="3" fillId="0" borderId="6" xfId="0" applyFont="1" applyFill="1" applyBorder="1" applyAlignment="1">
      <alignment horizontal="left" wrapText="1"/>
    </xf>
    <xf numFmtId="0" fontId="3" fillId="0" borderId="6" xfId="0" applyFont="1" applyFill="1" applyBorder="1" applyAlignment="1">
      <alignment horizontal="right" wrapText="1"/>
    </xf>
    <xf numFmtId="0" fontId="3" fillId="0" borderId="77" xfId="0" applyFont="1" applyFill="1" applyBorder="1" applyAlignment="1">
      <alignment horizontal="left" wrapText="1"/>
    </xf>
    <xf numFmtId="0" fontId="3" fillId="0" borderId="38" xfId="0" applyFont="1" applyFill="1" applyBorder="1" applyAlignment="1">
      <alignment horizontal="left" wrapText="1"/>
    </xf>
    <xf numFmtId="0" fontId="3" fillId="0" borderId="6" xfId="0" applyFont="1" applyBorder="1" applyAlignment="1">
      <alignment horizontal="left" wrapText="1"/>
    </xf>
    <xf numFmtId="0" fontId="3" fillId="0" borderId="0" xfId="0" applyFont="1" applyFill="1" applyAlignment="1">
      <alignment horizontal="right" wrapText="1"/>
    </xf>
    <xf numFmtId="0" fontId="3" fillId="0" borderId="17" xfId="0" applyFont="1" applyFill="1" applyBorder="1" applyAlignment="1">
      <alignment horizontal="right" wrapText="1"/>
    </xf>
    <xf numFmtId="0" fontId="3" fillId="0" borderId="8" xfId="0" applyFont="1" applyFill="1" applyBorder="1" applyAlignment="1">
      <alignment horizontal="right" wrapText="1"/>
    </xf>
    <xf numFmtId="0" fontId="3" fillId="0" borderId="76" xfId="0" applyFont="1" applyFill="1" applyBorder="1" applyAlignment="1">
      <alignment horizontal="left" wrapText="1"/>
    </xf>
    <xf numFmtId="0" fontId="3" fillId="0" borderId="30" xfId="0" applyFont="1" applyFill="1" applyBorder="1" applyAlignment="1">
      <alignment horizontal="left" wrapText="1"/>
    </xf>
    <xf numFmtId="0" fontId="3" fillId="0" borderId="30" xfId="0" applyFont="1" applyFill="1" applyBorder="1" applyAlignment="1">
      <alignment horizontal="right" wrapText="1"/>
    </xf>
    <xf numFmtId="0" fontId="3" fillId="0" borderId="78" xfId="0" applyFont="1" applyFill="1" applyBorder="1" applyAlignment="1">
      <alignment horizontal="left" wrapText="1"/>
    </xf>
    <xf numFmtId="0" fontId="3" fillId="0" borderId="17" xfId="0" applyFont="1" applyFill="1" applyBorder="1" applyAlignment="1">
      <alignment horizontal="left" wrapText="1"/>
    </xf>
    <xf numFmtId="0" fontId="3" fillId="0" borderId="11" xfId="0" applyFont="1" applyFill="1" applyBorder="1" applyAlignment="1">
      <alignment horizontal="left"/>
    </xf>
    <xf numFmtId="0" fontId="3" fillId="0" borderId="23" xfId="0" applyFont="1" applyFill="1" applyBorder="1" applyAlignment="1">
      <alignment horizontal="left"/>
    </xf>
    <xf numFmtId="49" fontId="3" fillId="0" borderId="11" xfId="0" applyNumberFormat="1" applyFont="1" applyFill="1" applyBorder="1" applyAlignment="1">
      <alignment horizontal="left" wrapText="1"/>
    </xf>
    <xf numFmtId="49" fontId="3" fillId="0" borderId="30" xfId="0" applyNumberFormat="1" applyFont="1" applyFill="1" applyBorder="1" applyAlignment="1">
      <alignment horizontal="left" wrapText="1"/>
    </xf>
    <xf numFmtId="0" fontId="2" fillId="0" borderId="79" xfId="0" applyFont="1" applyFill="1" applyBorder="1" applyAlignment="1">
      <alignment horizontal="center" wrapText="1"/>
    </xf>
    <xf numFmtId="0" fontId="2" fillId="0" borderId="80" xfId="0" applyFont="1" applyFill="1" applyBorder="1" applyAlignment="1">
      <alignment horizontal="center" wrapText="1"/>
    </xf>
    <xf numFmtId="49" fontId="3" fillId="0" borderId="18" xfId="0" applyNumberFormat="1" applyFont="1" applyFill="1" applyBorder="1" applyAlignment="1">
      <alignment horizontal="left" wrapText="1"/>
    </xf>
    <xf numFmtId="4" fontId="0" fillId="0" borderId="6" xfId="0" applyNumberFormat="1" applyBorder="1" applyAlignment="1">
      <alignment horizontal="center"/>
    </xf>
    <xf numFmtId="4" fontId="0" fillId="0" borderId="6" xfId="0" applyNumberFormat="1" applyFill="1" applyBorder="1" applyAlignment="1">
      <alignment horizontal="center"/>
    </xf>
    <xf numFmtId="4" fontId="0" fillId="0" borderId="0" xfId="0" applyNumberFormat="1" applyFill="1" applyBorder="1" applyAlignment="1">
      <alignment horizontal="center"/>
    </xf>
    <xf numFmtId="4" fontId="17" fillId="0" borderId="6" xfId="9" applyNumberFormat="1" applyFill="1" applyBorder="1" applyAlignment="1">
      <alignment horizontal="center" wrapText="1"/>
    </xf>
    <xf numFmtId="4" fontId="0" fillId="0" borderId="38" xfId="0" applyNumberFormat="1" applyFill="1" applyBorder="1" applyAlignment="1">
      <alignment horizontal="center"/>
    </xf>
    <xf numFmtId="4" fontId="0" fillId="0" borderId="10" xfId="0" applyNumberFormat="1" applyFill="1" applyBorder="1" applyAlignment="1">
      <alignment horizontal="center"/>
    </xf>
    <xf numFmtId="4" fontId="0" fillId="0" borderId="13" xfId="0" applyNumberFormat="1" applyFill="1" applyBorder="1" applyAlignment="1">
      <alignment horizontal="center"/>
    </xf>
    <xf numFmtId="4" fontId="0" fillId="0" borderId="3" xfId="0" applyNumberFormat="1" applyFill="1" applyBorder="1" applyAlignment="1">
      <alignment horizontal="center"/>
    </xf>
    <xf numFmtId="4" fontId="0" fillId="0" borderId="6" xfId="0" applyNumberFormat="1" applyFill="1" applyBorder="1"/>
    <xf numFmtId="4" fontId="0" fillId="0" borderId="8" xfId="0" applyNumberFormat="1" applyFill="1" applyBorder="1" applyAlignment="1">
      <alignment horizontal="center"/>
    </xf>
    <xf numFmtId="4" fontId="0" fillId="0" borderId="1" xfId="0" applyNumberFormat="1" applyFill="1" applyBorder="1" applyAlignment="1">
      <alignment horizontal="center"/>
    </xf>
    <xf numFmtId="4" fontId="0" fillId="0" borderId="2" xfId="0" applyNumberFormat="1" applyFill="1" applyBorder="1" applyAlignment="1">
      <alignment horizontal="center"/>
    </xf>
    <xf numFmtId="4" fontId="0" fillId="0" borderId="36" xfId="0" applyNumberFormat="1" applyFill="1" applyBorder="1" applyAlignment="1">
      <alignment horizontal="center"/>
    </xf>
    <xf numFmtId="4" fontId="0" fillId="0" borderId="22" xfId="0" applyNumberFormat="1" applyFont="1" applyFill="1" applyBorder="1" applyAlignment="1">
      <alignment horizontal="center"/>
    </xf>
    <xf numFmtId="4" fontId="0" fillId="0" borderId="13" xfId="0" applyNumberFormat="1" applyFill="1" applyBorder="1"/>
    <xf numFmtId="4" fontId="0" fillId="0" borderId="30" xfId="0" applyNumberFormat="1" applyFill="1" applyBorder="1" applyAlignment="1">
      <alignment horizontal="center"/>
    </xf>
    <xf numFmtId="4" fontId="0" fillId="0" borderId="22" xfId="0" applyNumberFormat="1" applyFill="1" applyBorder="1" applyAlignment="1">
      <alignment horizontal="center"/>
    </xf>
    <xf numFmtId="4" fontId="0" fillId="0" borderId="13" xfId="0" applyNumberFormat="1" applyFont="1" applyFill="1" applyBorder="1" applyAlignment="1">
      <alignment horizontal="center"/>
    </xf>
    <xf numFmtId="4" fontId="0" fillId="0" borderId="41" xfId="0" applyNumberFormat="1" applyFill="1" applyBorder="1" applyAlignment="1">
      <alignment horizontal="center"/>
    </xf>
    <xf numFmtId="4" fontId="3" fillId="0" borderId="0" xfId="0" applyNumberFormat="1" applyFont="1" applyFill="1" applyAlignment="1">
      <alignment horizontal="right" wrapText="1"/>
    </xf>
    <xf numFmtId="4" fontId="0" fillId="0" borderId="9" xfId="0" applyNumberFormat="1" applyFill="1" applyBorder="1" applyAlignment="1">
      <alignment horizontal="center"/>
    </xf>
    <xf numFmtId="4" fontId="0" fillId="0" borderId="25" xfId="0" applyNumberFormat="1" applyFill="1" applyBorder="1" applyAlignment="1">
      <alignment horizontal="center"/>
    </xf>
    <xf numFmtId="4" fontId="0" fillId="0" borderId="37" xfId="0" applyNumberFormat="1" applyFill="1" applyBorder="1" applyAlignment="1">
      <alignment horizontal="center"/>
    </xf>
    <xf numFmtId="4" fontId="0" fillId="0" borderId="9" xfId="0" applyNumberFormat="1" applyFill="1" applyBorder="1"/>
    <xf numFmtId="4" fontId="0" fillId="0" borderId="34" xfId="0" applyNumberFormat="1" applyFill="1" applyBorder="1" applyAlignment="1">
      <alignment horizontal="center"/>
    </xf>
    <xf numFmtId="4" fontId="0" fillId="0" borderId="6" xfId="0" applyNumberFormat="1" applyFill="1" applyBorder="1" applyAlignment="1">
      <alignment horizontal="center" vertical="center"/>
    </xf>
    <xf numFmtId="4" fontId="3" fillId="0" borderId="9" xfId="0" applyNumberFormat="1" applyFont="1" applyFill="1" applyBorder="1" applyAlignment="1">
      <alignment wrapText="1"/>
    </xf>
    <xf numFmtId="4" fontId="3" fillId="0" borderId="6" xfId="0" applyNumberFormat="1" applyFont="1" applyFill="1" applyBorder="1" applyAlignment="1">
      <alignment horizontal="left"/>
    </xf>
    <xf numFmtId="4" fontId="8" fillId="0" borderId="6" xfId="9" applyNumberFormat="1" applyFont="1" applyFill="1" applyBorder="1" applyAlignment="1">
      <alignment horizontal="center" wrapText="1"/>
    </xf>
    <xf numFmtId="4" fontId="8" fillId="0" borderId="9" xfId="9" applyNumberFormat="1" applyFont="1" applyFill="1" applyBorder="1" applyAlignment="1">
      <alignment horizontal="center" wrapText="1"/>
    </xf>
    <xf numFmtId="4" fontId="8" fillId="0" borderId="6" xfId="6" applyNumberFormat="1" applyFont="1" applyFill="1" applyBorder="1" applyAlignment="1">
      <alignment horizontal="center" wrapText="1"/>
    </xf>
    <xf numFmtId="4" fontId="5" fillId="0" borderId="6" xfId="7" applyNumberFormat="1" applyFont="1" applyFill="1" applyBorder="1" applyAlignment="1">
      <alignment horizontal="center"/>
    </xf>
    <xf numFmtId="4" fontId="0" fillId="0" borderId="35" xfId="0" applyNumberFormat="1" applyFill="1" applyBorder="1" applyAlignment="1">
      <alignment horizontal="center"/>
    </xf>
    <xf numFmtId="4" fontId="6" fillId="3" borderId="47" xfId="0" applyNumberFormat="1" applyFont="1" applyFill="1" applyBorder="1" applyAlignment="1">
      <alignment horizontal="center"/>
    </xf>
    <xf numFmtId="4" fontId="0" fillId="0" borderId="45" xfId="0" applyNumberFormat="1" applyFill="1" applyBorder="1" applyAlignment="1">
      <alignment horizontal="center"/>
    </xf>
    <xf numFmtId="4" fontId="6" fillId="3" borderId="21" xfId="0" applyNumberFormat="1" applyFont="1" applyFill="1" applyBorder="1" applyAlignment="1">
      <alignment horizontal="center"/>
    </xf>
  </cellXfs>
  <cellStyles count="11">
    <cellStyle name="Navadno" xfId="0" builtinId="0"/>
    <cellStyle name="Navadno 2" xfId="1" xr:uid="{00000000-0005-0000-0000-000001000000}"/>
    <cellStyle name="Navadno 3" xfId="2" xr:uid="{00000000-0005-0000-0000-000002000000}"/>
    <cellStyle name="Navadno 3 9" xfId="3" xr:uid="{00000000-0005-0000-0000-000003000000}"/>
    <cellStyle name="Navadno 34" xfId="4" xr:uid="{00000000-0005-0000-0000-000004000000}"/>
    <cellStyle name="Navadno 34 2" xfId="5" xr:uid="{00000000-0005-0000-0000-000005000000}"/>
    <cellStyle name="Navadno_120102_SH Prinčič ( vodovod in kanalizacija )-PZI" xfId="6" xr:uid="{00000000-0005-0000-0000-000006000000}"/>
    <cellStyle name="Navadno_PRAZ" xfId="7" xr:uid="{00000000-0005-0000-0000-000007000000}"/>
    <cellStyle name="Normal 2" xfId="8" xr:uid="{00000000-0005-0000-0000-000008000000}"/>
    <cellStyle name="Normal 3" xfId="9" xr:uid="{00000000-0005-0000-0000-000009000000}"/>
    <cellStyle name="Vejica 2" xfId="10" xr:uid="{00000000-0005-0000-0000-00000A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3333"/>
      <rgbColor rgb="00666699"/>
      <rgbColor rgb="00969696"/>
      <rgbColor rgb="00003366"/>
      <rgbColor rgb="00339966"/>
      <rgbColor rgb="00003300"/>
      <rgbColor rgb="00333300"/>
      <rgbColor rgb="00993300"/>
      <rgbColor rgb="00993366"/>
      <rgbColor rgb="00333399"/>
      <rgbColor rgb="00333333"/>
    </indexed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My%20Documents\Delo%20Hidroin&#382;eniring\Klini&#269;ni%20center\Projekt\Predra&#269;un.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GREGA_V\Pokopalisce%20Koper\pokopalisce%20Koper-popi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IJA"/>
      <sheetName val="STRUŠKA II"/>
      <sheetName val="Module1"/>
    </sheetNames>
    <sheetDataSet>
      <sheetData sheetId="0" refreshError="1"/>
      <sheetData sheetId="1" refreshError="1">
        <row r="27">
          <cell r="H27">
            <v>9542903.1697991695</v>
          </cell>
        </row>
      </sheetData>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lavna sprevodna pot"/>
      <sheetName val="grobna polja II"/>
      <sheetName val="grobna polja IV"/>
      <sheetName val="parkirisce"/>
    </sheetNames>
    <sheetDataSet>
      <sheetData sheetId="0" refreshError="1"/>
      <sheetData sheetId="1" refreshError="1"/>
      <sheetData sheetId="2" refreshError="1">
        <row r="350">
          <cell r="B350">
            <v>1.9844999999999999</v>
          </cell>
        </row>
        <row r="359">
          <cell r="B359">
            <v>1.6065</v>
          </cell>
        </row>
        <row r="385">
          <cell r="B385">
            <v>130.27440000000001</v>
          </cell>
        </row>
        <row r="386">
          <cell r="B386">
            <v>102.20175</v>
          </cell>
        </row>
        <row r="397">
          <cell r="B397">
            <v>8.343</v>
          </cell>
        </row>
        <row r="408">
          <cell r="B408">
            <v>21.114000000000001</v>
          </cell>
        </row>
      </sheetData>
      <sheetData sheetId="3" refreshError="1"/>
    </sheetDataSet>
  </externalBook>
</externalLink>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tabColor rgb="FFFF0000"/>
  </sheetPr>
  <dimension ref="A1:G81"/>
  <sheetViews>
    <sheetView view="pageBreakPreview" topLeftCell="A4" zoomScaleSheetLayoutView="100" workbookViewId="0">
      <selection activeCell="I4" sqref="I1:M65536"/>
    </sheetView>
  </sheetViews>
  <sheetFormatPr defaultColWidth="7.85546875" defaultRowHeight="12.75" x14ac:dyDescent="0.2"/>
  <cols>
    <col min="1" max="1" width="8.140625" style="1" customWidth="1"/>
    <col min="2" max="2" width="46.42578125" style="2" customWidth="1"/>
    <col min="3" max="3" width="6.5703125" style="3" customWidth="1"/>
    <col min="4" max="4" width="8.7109375" style="4" customWidth="1"/>
    <col min="5" max="5" width="10.140625" style="5" customWidth="1"/>
    <col min="6" max="6" width="15" style="6" customWidth="1"/>
    <col min="7" max="7" width="12.85546875" style="3" customWidth="1"/>
    <col min="8" max="16384" width="7.85546875" style="3"/>
  </cols>
  <sheetData>
    <row r="1" spans="1:7" ht="18" customHeight="1" x14ac:dyDescent="0.25">
      <c r="A1" s="298" t="s">
        <v>160</v>
      </c>
      <c r="B1" s="298"/>
    </row>
    <row r="2" spans="1:7" ht="15.75" customHeight="1" x14ac:dyDescent="0.25">
      <c r="A2" s="299"/>
      <c r="B2" s="299"/>
    </row>
    <row r="3" spans="1:7" ht="12.75" customHeight="1" x14ac:dyDescent="0.2">
      <c r="A3" s="300" t="s">
        <v>5</v>
      </c>
      <c r="B3" s="300"/>
      <c r="C3" s="7" t="s">
        <v>6</v>
      </c>
      <c r="D3" s="8" t="s">
        <v>7</v>
      </c>
      <c r="E3" s="8" t="s">
        <v>8</v>
      </c>
      <c r="F3" s="9" t="s">
        <v>9</v>
      </c>
    </row>
    <row r="4" spans="1:7" x14ac:dyDescent="0.2">
      <c r="A4" s="1" t="s">
        <v>10</v>
      </c>
      <c r="B4" s="10" t="s">
        <v>11</v>
      </c>
      <c r="C4" s="11"/>
      <c r="D4" s="12"/>
      <c r="E4" s="12"/>
      <c r="F4" s="13"/>
    </row>
    <row r="5" spans="1:7" ht="25.5" x14ac:dyDescent="0.2">
      <c r="A5" s="52" t="s">
        <v>12</v>
      </c>
      <c r="B5" s="55" t="s">
        <v>161</v>
      </c>
      <c r="C5" s="40" t="s">
        <v>13</v>
      </c>
      <c r="D5" s="41">
        <v>10</v>
      </c>
      <c r="E5" s="42">
        <v>37.5</v>
      </c>
      <c r="F5" s="43">
        <f>+D5*E5</f>
        <v>375</v>
      </c>
    </row>
    <row r="6" spans="1:7" ht="29.25" customHeight="1" x14ac:dyDescent="0.2">
      <c r="A6" s="51" t="s">
        <v>14</v>
      </c>
      <c r="B6" s="54" t="s">
        <v>162</v>
      </c>
      <c r="C6" s="16" t="s">
        <v>13</v>
      </c>
      <c r="D6" s="17">
        <v>10</v>
      </c>
      <c r="E6" s="18">
        <v>37.5</v>
      </c>
      <c r="F6" s="19">
        <f>+D6*E6</f>
        <v>375</v>
      </c>
    </row>
    <row r="7" spans="1:7" ht="12.75" customHeight="1" x14ac:dyDescent="0.2">
      <c r="A7" s="297" t="s">
        <v>15</v>
      </c>
      <c r="B7" s="297"/>
      <c r="F7" s="21">
        <f>SUM(F5:F6)</f>
        <v>750</v>
      </c>
      <c r="G7" s="22"/>
    </row>
    <row r="8" spans="1:7" x14ac:dyDescent="0.2">
      <c r="A8" s="20"/>
      <c r="B8" s="20"/>
      <c r="F8" s="21"/>
      <c r="G8" s="22"/>
    </row>
    <row r="10" spans="1:7" ht="12.75" customHeight="1" x14ac:dyDescent="0.2">
      <c r="A10" s="300" t="s">
        <v>16</v>
      </c>
      <c r="B10" s="300"/>
      <c r="C10" s="7" t="s">
        <v>6</v>
      </c>
      <c r="D10" s="8" t="s">
        <v>7</v>
      </c>
      <c r="E10" s="8" t="s">
        <v>8</v>
      </c>
      <c r="F10" s="9" t="s">
        <v>9</v>
      </c>
    </row>
    <row r="11" spans="1:7" x14ac:dyDescent="0.2">
      <c r="A11" s="1" t="s">
        <v>17</v>
      </c>
      <c r="B11" s="10" t="s">
        <v>18</v>
      </c>
    </row>
    <row r="12" spans="1:7" ht="53.25" customHeight="1" x14ac:dyDescent="0.2">
      <c r="A12" s="39" t="s">
        <v>52</v>
      </c>
      <c r="B12" s="55" t="s">
        <v>163</v>
      </c>
      <c r="C12" s="62" t="s">
        <v>20</v>
      </c>
      <c r="D12" s="44"/>
      <c r="E12" s="42">
        <v>8.57</v>
      </c>
      <c r="F12" s="45">
        <f>+D12*E12</f>
        <v>0</v>
      </c>
    </row>
    <row r="13" spans="1:7" x14ac:dyDescent="0.2">
      <c r="A13" s="25" t="s">
        <v>23</v>
      </c>
      <c r="B13" s="10" t="s">
        <v>53</v>
      </c>
      <c r="D13" s="27"/>
    </row>
    <row r="14" spans="1:7" ht="25.5" customHeight="1" x14ac:dyDescent="0.2">
      <c r="A14" s="53" t="s">
        <v>25</v>
      </c>
      <c r="B14" s="57" t="s">
        <v>126</v>
      </c>
      <c r="C14" s="62" t="s">
        <v>20</v>
      </c>
      <c r="D14" s="58"/>
      <c r="E14" s="63">
        <v>37.6</v>
      </c>
      <c r="F14" s="64">
        <f>+D14*E14</f>
        <v>0</v>
      </c>
      <c r="G14" s="65"/>
    </row>
    <row r="15" spans="1:7" ht="38.25" x14ac:dyDescent="0.2">
      <c r="A15" s="1" t="s">
        <v>26</v>
      </c>
      <c r="B15" s="57" t="s">
        <v>164</v>
      </c>
      <c r="C15" s="62" t="s">
        <v>20</v>
      </c>
      <c r="D15" s="5"/>
      <c r="E15" s="63">
        <v>37.6</v>
      </c>
      <c r="F15" s="92"/>
      <c r="G15" s="65"/>
    </row>
    <row r="16" spans="1:7" x14ac:dyDescent="0.2">
      <c r="A16" s="297" t="s">
        <v>28</v>
      </c>
      <c r="B16" s="297"/>
      <c r="F16" s="21">
        <f>SUM(F12:F14)</f>
        <v>0</v>
      </c>
    </row>
    <row r="17" spans="1:7" ht="12.75" customHeight="1" x14ac:dyDescent="0.2">
      <c r="A17" s="20"/>
      <c r="B17" s="20"/>
      <c r="F17" s="21"/>
    </row>
    <row r="18" spans="1:7" x14ac:dyDescent="0.2">
      <c r="A18" s="300" t="s">
        <v>165</v>
      </c>
      <c r="B18" s="300"/>
      <c r="C18" s="7" t="s">
        <v>6</v>
      </c>
      <c r="D18" s="8" t="s">
        <v>7</v>
      </c>
      <c r="E18" s="8" t="s">
        <v>8</v>
      </c>
      <c r="F18" s="9" t="s">
        <v>9</v>
      </c>
    </row>
    <row r="19" spans="1:7" ht="12.75" customHeight="1" x14ac:dyDescent="0.2">
      <c r="A19" s="1" t="s">
        <v>29</v>
      </c>
      <c r="B19" s="10" t="s">
        <v>27</v>
      </c>
      <c r="G19" s="65"/>
    </row>
    <row r="20" spans="1:7" x14ac:dyDescent="0.2">
      <c r="A20" s="14" t="s">
        <v>30</v>
      </c>
      <c r="B20" s="54" t="s">
        <v>108</v>
      </c>
      <c r="C20" s="16" t="s">
        <v>22</v>
      </c>
      <c r="D20" s="23"/>
      <c r="E20" s="18">
        <v>23.04</v>
      </c>
      <c r="F20" s="26">
        <f>+D20*E20</f>
        <v>0</v>
      </c>
      <c r="G20" s="2"/>
    </row>
    <row r="21" spans="1:7" ht="25.5" x14ac:dyDescent="0.2">
      <c r="A21" s="14" t="s">
        <v>32</v>
      </c>
      <c r="B21" s="54" t="s">
        <v>166</v>
      </c>
      <c r="C21" s="16" t="s">
        <v>22</v>
      </c>
      <c r="D21" s="23"/>
      <c r="E21" s="18">
        <v>25.78</v>
      </c>
      <c r="F21" s="26">
        <f>+D21*E21</f>
        <v>0</v>
      </c>
      <c r="G21" s="65"/>
    </row>
    <row r="22" spans="1:7" ht="12.75" customHeight="1" x14ac:dyDescent="0.2">
      <c r="A22" s="14" t="s">
        <v>54</v>
      </c>
      <c r="B22" s="56" t="s">
        <v>167</v>
      </c>
      <c r="C22" s="36" t="s">
        <v>22</v>
      </c>
      <c r="D22" s="46"/>
      <c r="E22" s="37">
        <v>3.21</v>
      </c>
      <c r="F22" s="47">
        <f>+D22*E22</f>
        <v>0</v>
      </c>
      <c r="G22" s="65"/>
    </row>
    <row r="23" spans="1:7" ht="25.5" customHeight="1" x14ac:dyDescent="0.2">
      <c r="A23" s="1" t="s">
        <v>33</v>
      </c>
      <c r="B23" s="10" t="s">
        <v>56</v>
      </c>
      <c r="C23" s="48"/>
      <c r="D23" s="27"/>
      <c r="G23" s="65"/>
    </row>
    <row r="24" spans="1:7" ht="38.25" x14ac:dyDescent="0.2">
      <c r="A24" s="14" t="s">
        <v>35</v>
      </c>
      <c r="B24" s="15" t="s">
        <v>57</v>
      </c>
      <c r="C24" s="16" t="s">
        <v>20</v>
      </c>
      <c r="D24" s="23"/>
      <c r="E24" s="18">
        <v>98</v>
      </c>
      <c r="F24" s="19">
        <f>+D24*E24</f>
        <v>0</v>
      </c>
      <c r="G24" s="69"/>
    </row>
    <row r="25" spans="1:7" ht="38.25" customHeight="1" x14ac:dyDescent="0.2">
      <c r="A25" s="14" t="s">
        <v>44</v>
      </c>
      <c r="B25" s="54" t="s">
        <v>111</v>
      </c>
      <c r="C25" s="16" t="s">
        <v>20</v>
      </c>
      <c r="D25" s="23"/>
      <c r="E25" s="18">
        <v>100.6</v>
      </c>
      <c r="F25" s="19">
        <f>+D25*E25</f>
        <v>0</v>
      </c>
      <c r="G25" s="65"/>
    </row>
    <row r="26" spans="1:7" ht="38.25" x14ac:dyDescent="0.2">
      <c r="A26" s="14" t="s">
        <v>37</v>
      </c>
      <c r="B26" s="54" t="s">
        <v>151</v>
      </c>
      <c r="C26" s="16" t="s">
        <v>20</v>
      </c>
      <c r="D26" s="23"/>
      <c r="E26" s="37">
        <v>120.6</v>
      </c>
      <c r="F26" s="19">
        <f>D26*E26</f>
        <v>0</v>
      </c>
      <c r="G26" s="65"/>
    </row>
    <row r="27" spans="1:7" ht="25.5" customHeight="1" x14ac:dyDescent="0.2">
      <c r="A27" s="39" t="s">
        <v>59</v>
      </c>
      <c r="B27" s="54" t="s">
        <v>112</v>
      </c>
      <c r="C27" s="16" t="s">
        <v>22</v>
      </c>
      <c r="D27" s="23"/>
      <c r="E27" s="18">
        <v>13</v>
      </c>
      <c r="F27" s="26">
        <f>D27*E27</f>
        <v>0</v>
      </c>
      <c r="G27" s="65"/>
    </row>
    <row r="28" spans="1:7" x14ac:dyDescent="0.2">
      <c r="A28" s="1" t="s">
        <v>64</v>
      </c>
      <c r="B28" s="10" t="s">
        <v>65</v>
      </c>
      <c r="D28" s="27"/>
      <c r="F28" s="24"/>
    </row>
    <row r="29" spans="1:7" ht="51" x14ac:dyDescent="0.2">
      <c r="A29" s="14" t="s">
        <v>66</v>
      </c>
      <c r="B29" s="54" t="s">
        <v>168</v>
      </c>
      <c r="C29" s="16" t="s">
        <v>67</v>
      </c>
      <c r="D29" s="23"/>
      <c r="E29" s="18">
        <v>1.05</v>
      </c>
      <c r="F29" s="26">
        <f>+D29*E29</f>
        <v>0</v>
      </c>
    </row>
    <row r="30" spans="1:7" ht="51" x14ac:dyDescent="0.2">
      <c r="A30" s="39" t="s">
        <v>68</v>
      </c>
      <c r="B30" s="55" t="s">
        <v>114</v>
      </c>
      <c r="C30" s="40" t="s">
        <v>67</v>
      </c>
      <c r="D30" s="44"/>
      <c r="E30" s="42">
        <v>1.41</v>
      </c>
      <c r="F30" s="45">
        <f>+D30*E30</f>
        <v>0</v>
      </c>
    </row>
    <row r="31" spans="1:7" x14ac:dyDescent="0.2">
      <c r="A31" s="1" t="s">
        <v>69</v>
      </c>
      <c r="B31" s="10" t="s">
        <v>70</v>
      </c>
      <c r="D31" s="27"/>
    </row>
    <row r="32" spans="1:7" ht="63.75" x14ac:dyDescent="0.2">
      <c r="A32" s="14" t="s">
        <v>71</v>
      </c>
      <c r="B32" s="15" t="s">
        <v>72</v>
      </c>
      <c r="C32" s="16" t="s">
        <v>22</v>
      </c>
      <c r="D32" s="23"/>
      <c r="E32" s="18">
        <v>15</v>
      </c>
      <c r="F32" s="26">
        <f>+D32*E32</f>
        <v>0</v>
      </c>
    </row>
    <row r="33" spans="1:7" ht="12.75" customHeight="1" x14ac:dyDescent="0.2">
      <c r="A33" s="1" t="s">
        <v>29</v>
      </c>
      <c r="B33" s="10" t="s">
        <v>170</v>
      </c>
      <c r="G33" s="65"/>
    </row>
    <row r="34" spans="1:7" ht="51" x14ac:dyDescent="0.2">
      <c r="A34" s="14" t="s">
        <v>30</v>
      </c>
      <c r="B34" s="54" t="s">
        <v>171</v>
      </c>
      <c r="C34" s="16" t="s">
        <v>22</v>
      </c>
      <c r="D34" s="23"/>
      <c r="E34" s="18"/>
      <c r="F34" s="26">
        <f t="shared" ref="F34:F40" si="0">+D34*E34</f>
        <v>0</v>
      </c>
      <c r="G34" s="2"/>
    </row>
    <row r="35" spans="1:7" ht="51" x14ac:dyDescent="0.2">
      <c r="A35" s="14" t="s">
        <v>32</v>
      </c>
      <c r="B35" s="54" t="s">
        <v>172</v>
      </c>
      <c r="C35" s="16" t="s">
        <v>13</v>
      </c>
      <c r="D35" s="23"/>
      <c r="E35" s="18"/>
      <c r="F35" s="26">
        <f t="shared" si="0"/>
        <v>0</v>
      </c>
      <c r="G35" s="65"/>
    </row>
    <row r="36" spans="1:7" ht="51" x14ac:dyDescent="0.2">
      <c r="A36" s="14" t="s">
        <v>30</v>
      </c>
      <c r="B36" s="54" t="s">
        <v>171</v>
      </c>
      <c r="C36" s="16" t="s">
        <v>22</v>
      </c>
      <c r="D36" s="23"/>
      <c r="E36" s="18"/>
      <c r="F36" s="26">
        <f t="shared" si="0"/>
        <v>0</v>
      </c>
      <c r="G36" s="2"/>
    </row>
    <row r="37" spans="1:7" ht="51" x14ac:dyDescent="0.2">
      <c r="A37" s="14" t="s">
        <v>32</v>
      </c>
      <c r="B37" s="54" t="s">
        <v>172</v>
      </c>
      <c r="C37" s="16" t="s">
        <v>13</v>
      </c>
      <c r="D37" s="23"/>
      <c r="E37" s="18"/>
      <c r="F37" s="26">
        <f t="shared" si="0"/>
        <v>0</v>
      </c>
      <c r="G37" s="65"/>
    </row>
    <row r="38" spans="1:7" ht="51" x14ac:dyDescent="0.2">
      <c r="A38" s="14" t="s">
        <v>30</v>
      </c>
      <c r="B38" s="54" t="s">
        <v>171</v>
      </c>
      <c r="C38" s="16" t="s">
        <v>22</v>
      </c>
      <c r="D38" s="23"/>
      <c r="E38" s="18"/>
      <c r="F38" s="26">
        <f t="shared" si="0"/>
        <v>0</v>
      </c>
      <c r="G38" s="2"/>
    </row>
    <row r="39" spans="1:7" ht="51" x14ac:dyDescent="0.2">
      <c r="A39" s="14" t="s">
        <v>32</v>
      </c>
      <c r="B39" s="54" t="s">
        <v>172</v>
      </c>
      <c r="C39" s="16" t="s">
        <v>13</v>
      </c>
      <c r="D39" s="23"/>
      <c r="E39" s="18"/>
      <c r="F39" s="26">
        <f t="shared" si="0"/>
        <v>0</v>
      </c>
      <c r="G39" s="65"/>
    </row>
    <row r="40" spans="1:7" ht="12.75" customHeight="1" x14ac:dyDescent="0.2">
      <c r="A40" s="14" t="s">
        <v>54</v>
      </c>
      <c r="B40" s="56" t="s">
        <v>167</v>
      </c>
      <c r="C40" s="36" t="s">
        <v>22</v>
      </c>
      <c r="D40" s="46">
        <v>236</v>
      </c>
      <c r="E40" s="37">
        <v>3.21</v>
      </c>
      <c r="F40" s="47">
        <f t="shared" si="0"/>
        <v>757.56</v>
      </c>
      <c r="G40" s="65"/>
    </row>
    <row r="41" spans="1:7" ht="12.75" customHeight="1" x14ac:dyDescent="0.2">
      <c r="A41" s="297" t="s">
        <v>169</v>
      </c>
      <c r="B41" s="297"/>
      <c r="F41" s="21">
        <f>SUM(F20:F32)</f>
        <v>0</v>
      </c>
    </row>
    <row r="42" spans="1:7" x14ac:dyDescent="0.2">
      <c r="A42" s="20"/>
      <c r="B42" s="20"/>
      <c r="F42" s="21"/>
    </row>
    <row r="43" spans="1:7" x14ac:dyDescent="0.2">
      <c r="A43" s="93" t="s">
        <v>173</v>
      </c>
      <c r="B43" s="94"/>
      <c r="C43" s="95"/>
      <c r="D43" s="96"/>
      <c r="E43" s="97"/>
      <c r="F43" s="98"/>
    </row>
    <row r="44" spans="1:7" x14ac:dyDescent="0.2">
      <c r="A44" s="99" t="s">
        <v>38</v>
      </c>
      <c r="B44" s="94" t="s">
        <v>27</v>
      </c>
      <c r="C44" s="95"/>
      <c r="D44" s="96"/>
      <c r="E44" s="97"/>
      <c r="F44" s="98"/>
    </row>
    <row r="45" spans="1:7" ht="25.5" x14ac:dyDescent="0.2">
      <c r="A45" s="100" t="s">
        <v>39</v>
      </c>
      <c r="B45" s="57" t="s">
        <v>174</v>
      </c>
      <c r="C45" s="59" t="s">
        <v>186</v>
      </c>
      <c r="D45" s="101">
        <f>'[2]grobna polja IV'!$B$397</f>
        <v>8.343</v>
      </c>
      <c r="E45" s="58">
        <v>23.04</v>
      </c>
      <c r="F45" s="102">
        <f>D45*E45</f>
        <v>192.22271999999998</v>
      </c>
    </row>
    <row r="46" spans="1:7" ht="25.5" x14ac:dyDescent="0.2">
      <c r="A46" s="100" t="s">
        <v>45</v>
      </c>
      <c r="B46" s="57" t="s">
        <v>175</v>
      </c>
      <c r="C46" s="103" t="s">
        <v>186</v>
      </c>
      <c r="D46" s="101">
        <f>'[2]grobna polja IV'!$B$408</f>
        <v>21.114000000000001</v>
      </c>
      <c r="E46" s="58">
        <v>23.04</v>
      </c>
      <c r="F46" s="102">
        <f>D46*E46</f>
        <v>486.46656000000002</v>
      </c>
    </row>
    <row r="47" spans="1:7" x14ac:dyDescent="0.2">
      <c r="A47" s="1" t="s">
        <v>73</v>
      </c>
      <c r="B47" s="104" t="s">
        <v>56</v>
      </c>
      <c r="C47" s="105"/>
      <c r="D47" s="96"/>
      <c r="E47" s="97"/>
      <c r="F47" s="98"/>
    </row>
    <row r="48" spans="1:7" ht="38.25" x14ac:dyDescent="0.2">
      <c r="A48" s="100" t="s">
        <v>74</v>
      </c>
      <c r="B48" s="57" t="s">
        <v>176</v>
      </c>
      <c r="C48" s="59" t="s">
        <v>187</v>
      </c>
      <c r="D48" s="101">
        <f>'[2]grobna polja IV'!$B$350</f>
        <v>1.9844999999999999</v>
      </c>
      <c r="E48" s="58">
        <v>100.6</v>
      </c>
      <c r="F48" s="102">
        <f>D48*E48</f>
        <v>199.64069999999998</v>
      </c>
    </row>
    <row r="49" spans="1:6" x14ac:dyDescent="0.2">
      <c r="A49" s="99" t="s">
        <v>76</v>
      </c>
      <c r="B49" s="104" t="s">
        <v>177</v>
      </c>
      <c r="C49" s="95"/>
      <c r="D49" s="106"/>
      <c r="E49" s="97"/>
      <c r="F49" s="98"/>
    </row>
    <row r="50" spans="1:6" ht="51" x14ac:dyDescent="0.2">
      <c r="A50" s="100" t="s">
        <v>77</v>
      </c>
      <c r="B50" s="57" t="s">
        <v>189</v>
      </c>
      <c r="C50" s="59" t="s">
        <v>187</v>
      </c>
      <c r="D50" s="101">
        <f>'[2]grobna polja IV'!$B$359</f>
        <v>1.6065</v>
      </c>
      <c r="E50" s="58">
        <v>120.6</v>
      </c>
      <c r="F50" s="102">
        <f>D50*E50</f>
        <v>193.7439</v>
      </c>
    </row>
    <row r="51" spans="1:6" x14ac:dyDescent="0.2">
      <c r="A51" s="99" t="s">
        <v>129</v>
      </c>
      <c r="B51" s="94" t="s">
        <v>65</v>
      </c>
      <c r="C51" s="95"/>
      <c r="D51" s="96"/>
      <c r="E51" s="97"/>
      <c r="F51" s="107"/>
    </row>
    <row r="52" spans="1:6" ht="38.25" x14ac:dyDescent="0.2">
      <c r="A52" s="100" t="s">
        <v>130</v>
      </c>
      <c r="B52" s="57" t="s">
        <v>178</v>
      </c>
      <c r="C52" s="59" t="s">
        <v>67</v>
      </c>
      <c r="D52" s="101">
        <f>'[2]grobna polja IV'!$B$386</f>
        <v>102.20175</v>
      </c>
      <c r="E52" s="58">
        <v>1.05</v>
      </c>
      <c r="F52" s="102">
        <f>D52*E52</f>
        <v>107.31183750000001</v>
      </c>
    </row>
    <row r="53" spans="1:6" ht="38.25" x14ac:dyDescent="0.2">
      <c r="A53" s="100" t="s">
        <v>132</v>
      </c>
      <c r="B53" s="57" t="s">
        <v>179</v>
      </c>
      <c r="C53" s="59" t="s">
        <v>67</v>
      </c>
      <c r="D53" s="101">
        <f>'[2]grobna polja IV'!$B$385</f>
        <v>130.27440000000001</v>
      </c>
      <c r="E53" s="58">
        <v>1.05</v>
      </c>
      <c r="F53" s="102">
        <f>D53*E53</f>
        <v>136.78812000000002</v>
      </c>
    </row>
    <row r="54" spans="1:6" x14ac:dyDescent="0.2">
      <c r="A54" s="99" t="s">
        <v>133</v>
      </c>
      <c r="B54" s="10" t="s">
        <v>180</v>
      </c>
      <c r="D54" s="96"/>
      <c r="F54" s="98"/>
    </row>
    <row r="55" spans="1:6" ht="38.25" x14ac:dyDescent="0.2">
      <c r="A55" s="100" t="s">
        <v>134</v>
      </c>
      <c r="B55" s="57" t="s">
        <v>181</v>
      </c>
      <c r="C55" s="59" t="s">
        <v>13</v>
      </c>
      <c r="D55" s="101">
        <v>3</v>
      </c>
      <c r="E55" s="58">
        <v>2000</v>
      </c>
      <c r="F55" s="102">
        <f>D55*E55</f>
        <v>6000</v>
      </c>
    </row>
    <row r="56" spans="1:6" ht="38.25" x14ac:dyDescent="0.2">
      <c r="A56" s="100" t="s">
        <v>188</v>
      </c>
      <c r="B56" s="57" t="s">
        <v>182</v>
      </c>
      <c r="C56" s="59" t="s">
        <v>13</v>
      </c>
      <c r="D56" s="101">
        <v>3</v>
      </c>
      <c r="E56" s="58">
        <v>250</v>
      </c>
      <c r="F56" s="102">
        <f>D56*E56</f>
        <v>750</v>
      </c>
    </row>
    <row r="57" spans="1:6" ht="38.25" x14ac:dyDescent="0.2">
      <c r="A57" s="100" t="s">
        <v>183</v>
      </c>
      <c r="B57" s="57" t="s">
        <v>184</v>
      </c>
      <c r="C57" s="59" t="s">
        <v>13</v>
      </c>
      <c r="D57" s="101">
        <v>3</v>
      </c>
      <c r="E57" s="58">
        <v>350</v>
      </c>
      <c r="F57" s="102">
        <f>D57*E57</f>
        <v>1050</v>
      </c>
    </row>
    <row r="58" spans="1:6" x14ac:dyDescent="0.2">
      <c r="A58" s="302" t="s">
        <v>185</v>
      </c>
      <c r="B58" s="302"/>
      <c r="C58" s="95"/>
      <c r="D58" s="106"/>
      <c r="E58" s="97"/>
      <c r="F58" s="108">
        <f>SUM(F45:F57)</f>
        <v>9116.1738374999986</v>
      </c>
    </row>
    <row r="59" spans="1:6" x14ac:dyDescent="0.2">
      <c r="A59" s="20"/>
      <c r="B59" s="20"/>
      <c r="F59" s="21"/>
    </row>
    <row r="60" spans="1:6" ht="12.75" customHeight="1" x14ac:dyDescent="0.2">
      <c r="A60" s="49" t="s">
        <v>192</v>
      </c>
      <c r="B60" s="50"/>
      <c r="C60" s="7"/>
      <c r="D60" s="66"/>
      <c r="E60" s="67"/>
      <c r="F60" s="68"/>
    </row>
    <row r="61" spans="1:6" ht="12.75" customHeight="1" x14ac:dyDescent="0.2">
      <c r="A61" s="53" t="s">
        <v>80</v>
      </c>
      <c r="B61" s="60" t="s">
        <v>81</v>
      </c>
      <c r="C61" s="62"/>
      <c r="D61" s="58"/>
      <c r="E61" s="63"/>
      <c r="F61" s="64"/>
    </row>
    <row r="62" spans="1:6" ht="38.25" x14ac:dyDescent="0.2">
      <c r="A62" s="53" t="s">
        <v>35</v>
      </c>
      <c r="B62" s="57" t="s">
        <v>119</v>
      </c>
      <c r="C62" s="62" t="s">
        <v>22</v>
      </c>
      <c r="D62" s="58">
        <v>103.3</v>
      </c>
      <c r="E62" s="63">
        <v>26</v>
      </c>
      <c r="F62" s="64">
        <f>+D62*E62</f>
        <v>2685.7999999999997</v>
      </c>
    </row>
    <row r="63" spans="1:6" x14ac:dyDescent="0.2">
      <c r="A63" s="303" t="s">
        <v>90</v>
      </c>
      <c r="B63" s="303"/>
      <c r="C63" s="303"/>
      <c r="D63" s="303"/>
      <c r="F63" s="21">
        <f>SUM(F61:F62)</f>
        <v>2685.7999999999997</v>
      </c>
    </row>
    <row r="64" spans="1:6" x14ac:dyDescent="0.2">
      <c r="A64" s="20"/>
      <c r="B64" s="20"/>
      <c r="F64" s="21"/>
    </row>
    <row r="65" spans="1:6" x14ac:dyDescent="0.2">
      <c r="A65" s="20"/>
      <c r="B65" s="20"/>
      <c r="C65" s="70"/>
      <c r="D65" s="5"/>
      <c r="E65" s="71"/>
      <c r="F65" s="75"/>
    </row>
    <row r="66" spans="1:6" ht="15.75" x14ac:dyDescent="0.25">
      <c r="A66" s="81" t="s">
        <v>154</v>
      </c>
      <c r="B66" s="61" t="s">
        <v>145</v>
      </c>
      <c r="C66" s="82"/>
      <c r="D66" s="83"/>
      <c r="E66" s="84"/>
      <c r="F66" s="84"/>
    </row>
    <row r="67" spans="1:6" x14ac:dyDescent="0.2">
      <c r="A67" s="304" t="s">
        <v>155</v>
      </c>
      <c r="B67" s="304"/>
      <c r="C67" s="72" t="s">
        <v>136</v>
      </c>
      <c r="D67" s="73" t="s">
        <v>137</v>
      </c>
      <c r="E67" s="74" t="s">
        <v>138</v>
      </c>
      <c r="F67" s="74" t="s">
        <v>139</v>
      </c>
    </row>
    <row r="68" spans="1:6" x14ac:dyDescent="0.2">
      <c r="A68" s="53" t="s">
        <v>156</v>
      </c>
      <c r="B68" s="76" t="s">
        <v>3</v>
      </c>
      <c r="C68" s="77" t="s">
        <v>40</v>
      </c>
      <c r="D68" s="78">
        <v>8</v>
      </c>
      <c r="E68" s="79">
        <v>35</v>
      </c>
      <c r="F68" s="80">
        <f>D68*E68</f>
        <v>280</v>
      </c>
    </row>
    <row r="69" spans="1:6" x14ac:dyDescent="0.2">
      <c r="A69" s="53" t="s">
        <v>157</v>
      </c>
      <c r="B69" s="76" t="s">
        <v>4</v>
      </c>
      <c r="C69" s="77" t="s">
        <v>40</v>
      </c>
      <c r="D69" s="78">
        <v>8</v>
      </c>
      <c r="E69" s="79">
        <v>35</v>
      </c>
      <c r="F69" s="80">
        <f>D69*E69</f>
        <v>280</v>
      </c>
    </row>
    <row r="70" spans="1:6" x14ac:dyDescent="0.2">
      <c r="A70" s="53" t="s">
        <v>158</v>
      </c>
      <c r="B70" s="76" t="s">
        <v>146</v>
      </c>
      <c r="C70" s="77" t="s">
        <v>13</v>
      </c>
      <c r="D70" s="78">
        <v>1</v>
      </c>
      <c r="E70" s="79">
        <v>1500</v>
      </c>
      <c r="F70" s="80">
        <f>D70*E70</f>
        <v>1500</v>
      </c>
    </row>
    <row r="71" spans="1:6" x14ac:dyDescent="0.2">
      <c r="A71" s="29" t="s">
        <v>159</v>
      </c>
      <c r="B71" s="85"/>
      <c r="C71" s="86"/>
      <c r="D71" s="87"/>
      <c r="E71" s="88"/>
      <c r="F71" s="89">
        <f>SUM(F68:F70)</f>
        <v>2060</v>
      </c>
    </row>
    <row r="72" spans="1:6" x14ac:dyDescent="0.2">
      <c r="A72" s="20"/>
      <c r="B72" s="20"/>
      <c r="F72" s="21"/>
    </row>
    <row r="73" spans="1:6" x14ac:dyDescent="0.2">
      <c r="A73" s="20"/>
      <c r="B73" s="20"/>
      <c r="F73" s="21"/>
    </row>
    <row r="74" spans="1:6" x14ac:dyDescent="0.2">
      <c r="A74" s="20"/>
      <c r="B74" s="20"/>
      <c r="F74" s="21"/>
    </row>
    <row r="75" spans="1:6" x14ac:dyDescent="0.2">
      <c r="A75" s="297" t="s">
        <v>41</v>
      </c>
      <c r="B75" s="297"/>
      <c r="F75" s="21">
        <f>+F7</f>
        <v>750</v>
      </c>
    </row>
    <row r="76" spans="1:6" x14ac:dyDescent="0.2">
      <c r="A76" s="297" t="s">
        <v>42</v>
      </c>
      <c r="B76" s="297"/>
      <c r="F76" s="21">
        <f>+F16</f>
        <v>0</v>
      </c>
    </row>
    <row r="77" spans="1:6" x14ac:dyDescent="0.2">
      <c r="A77" s="91" t="s">
        <v>190</v>
      </c>
      <c r="B77" s="91"/>
      <c r="F77" s="21">
        <f>+F41</f>
        <v>0</v>
      </c>
    </row>
    <row r="78" spans="1:6" x14ac:dyDescent="0.2">
      <c r="A78" s="91" t="s">
        <v>191</v>
      </c>
      <c r="B78" s="91"/>
      <c r="F78" s="21">
        <f>+F58</f>
        <v>9116.1738374999986</v>
      </c>
    </row>
    <row r="79" spans="1:6" x14ac:dyDescent="0.2">
      <c r="A79" s="297" t="s">
        <v>193</v>
      </c>
      <c r="B79" s="297"/>
      <c r="F79" s="21">
        <f>+F63</f>
        <v>2685.7999999999997</v>
      </c>
    </row>
    <row r="80" spans="1:6" x14ac:dyDescent="0.2">
      <c r="A80" s="301" t="s">
        <v>152</v>
      </c>
      <c r="B80" s="301"/>
      <c r="F80" s="21">
        <f>+F71</f>
        <v>2060</v>
      </c>
    </row>
    <row r="81" spans="1:6" ht="15.75" x14ac:dyDescent="0.25">
      <c r="A81" s="30"/>
      <c r="B81" s="31" t="s">
        <v>96</v>
      </c>
      <c r="C81" s="32"/>
      <c r="D81" s="33"/>
      <c r="E81" s="34"/>
      <c r="F81" s="35">
        <f>SUM(F75:F80)</f>
        <v>14611.973837499998</v>
      </c>
    </row>
  </sheetData>
  <sheetProtection selectLockedCells="1" selectUnlockedCells="1"/>
  <mergeCells count="15">
    <mergeCell ref="A76:B76"/>
    <mergeCell ref="A79:B79"/>
    <mergeCell ref="A80:B80"/>
    <mergeCell ref="A18:B18"/>
    <mergeCell ref="A41:B41"/>
    <mergeCell ref="A58:B58"/>
    <mergeCell ref="A63:D63"/>
    <mergeCell ref="A67:B67"/>
    <mergeCell ref="A75:B75"/>
    <mergeCell ref="A16:B16"/>
    <mergeCell ref="A1:B1"/>
    <mergeCell ref="A2:B2"/>
    <mergeCell ref="A3:B3"/>
    <mergeCell ref="A7:B7"/>
    <mergeCell ref="A10:B10"/>
  </mergeCells>
  <phoneticPr fontId="0" type="noConversion"/>
  <pageMargins left="0.74791666666666667" right="0.74791666666666667" top="0.98402777777777772" bottom="0.98402777777777772" header="0.51180555555555551" footer="0.51180555555555551"/>
  <pageSetup paperSize="9" scale="92" firstPageNumber="0" orientation="portrait" horizontalDpi="300" verticalDpi="300" r:id="rId1"/>
  <headerFooter alignWithMargins="0">
    <oddHeader>&amp;LKomunala Koper&amp;CIzvleček PZI "Razširitev pokopališča Škocjan 2. faza"</oddHeader>
    <oddFooter>&amp;LIzgradnja grobnega polja GP3&amp;CGradbena dela              &amp;R&amp;P/&amp;N</oddFooter>
  </headerFooter>
  <rowBreaks count="2" manualBreakCount="2">
    <brk id="8" max="16383" man="1"/>
    <brk id="15"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39997558519241921"/>
  </sheetPr>
  <dimension ref="A2:H34"/>
  <sheetViews>
    <sheetView view="pageBreakPreview" zoomScale="115" zoomScaleNormal="100" zoomScaleSheetLayoutView="115" workbookViewId="0">
      <selection activeCell="A8" sqref="A8:G8"/>
    </sheetView>
  </sheetViews>
  <sheetFormatPr defaultRowHeight="12.75" x14ac:dyDescent="0.2"/>
  <cols>
    <col min="1" max="6" width="9.140625" style="117"/>
    <col min="7" max="7" width="7.85546875" style="117" customWidth="1"/>
    <col min="8" max="8" width="25.42578125" style="118" customWidth="1"/>
    <col min="9" max="16384" width="9.140625" style="117"/>
  </cols>
  <sheetData>
    <row r="2" spans="1:8" ht="18" x14ac:dyDescent="0.25">
      <c r="A2" s="119" t="s">
        <v>623</v>
      </c>
    </row>
    <row r="3" spans="1:8" s="121" customFormat="1" ht="13.5" thickBot="1" x14ac:dyDescent="0.25">
      <c r="A3" s="120"/>
      <c r="H3" s="122"/>
    </row>
    <row r="4" spans="1:8" ht="20.100000000000001" customHeight="1" thickBot="1" x14ac:dyDescent="0.25">
      <c r="A4" s="309" t="s">
        <v>97</v>
      </c>
      <c r="B4" s="309"/>
      <c r="C4" s="309"/>
      <c r="D4" s="309"/>
      <c r="E4" s="309"/>
      <c r="F4" s="309"/>
      <c r="G4" s="309"/>
      <c r="H4" s="123" t="s">
        <v>196</v>
      </c>
    </row>
    <row r="5" spans="1:8" ht="20.100000000000001" customHeight="1" x14ac:dyDescent="0.2">
      <c r="A5" s="308" t="s">
        <v>624</v>
      </c>
      <c r="B5" s="308"/>
      <c r="C5" s="308"/>
      <c r="D5" s="308"/>
      <c r="E5" s="308"/>
      <c r="F5" s="308"/>
      <c r="G5" s="308"/>
      <c r="H5" s="152">
        <f>'ETAPA 5'!F433</f>
        <v>0</v>
      </c>
    </row>
    <row r="6" spans="1:8" ht="29.25" customHeight="1" thickBot="1" x14ac:dyDescent="0.25">
      <c r="A6" s="313" t="s">
        <v>625</v>
      </c>
      <c r="B6" s="313"/>
      <c r="C6" s="313"/>
      <c r="D6" s="313"/>
      <c r="E6" s="313"/>
      <c r="F6" s="313"/>
      <c r="G6" s="313"/>
      <c r="H6" s="296">
        <f>'ETAPA 5'!F434</f>
        <v>0</v>
      </c>
    </row>
    <row r="7" spans="1:8" ht="20.100000000000001" customHeight="1" x14ac:dyDescent="0.2">
      <c r="A7" s="310" t="s">
        <v>626</v>
      </c>
      <c r="B7" s="310"/>
      <c r="C7" s="310"/>
      <c r="D7" s="310"/>
      <c r="E7" s="310"/>
      <c r="F7" s="310"/>
      <c r="G7" s="310"/>
      <c r="H7" s="142">
        <f>SUM(H5:H6)</f>
        <v>0</v>
      </c>
    </row>
    <row r="8" spans="1:8" ht="20.100000000000001" customHeight="1" thickBot="1" x14ac:dyDescent="0.25">
      <c r="A8" s="311" t="s">
        <v>98</v>
      </c>
      <c r="B8" s="311"/>
      <c r="C8" s="311"/>
      <c r="D8" s="311"/>
      <c r="E8" s="311"/>
      <c r="F8" s="311"/>
      <c r="G8" s="311"/>
      <c r="H8" s="127">
        <f>0.22*H7</f>
        <v>0</v>
      </c>
    </row>
    <row r="9" spans="1:8" ht="14.25" thickTop="1" thickBot="1" x14ac:dyDescent="0.25">
      <c r="A9" s="312" t="s">
        <v>149</v>
      </c>
      <c r="B9" s="312"/>
      <c r="C9" s="312"/>
      <c r="D9" s="312"/>
      <c r="E9" s="312"/>
      <c r="F9" s="312"/>
      <c r="G9" s="312"/>
      <c r="H9" s="128">
        <f>H7+H8</f>
        <v>0</v>
      </c>
    </row>
    <row r="10" spans="1:8" x14ac:dyDescent="0.2">
      <c r="A10" s="199"/>
    </row>
    <row r="12" spans="1:8" ht="18" x14ac:dyDescent="0.25">
      <c r="A12" s="200" t="s">
        <v>399</v>
      </c>
    </row>
    <row r="14" spans="1:8" ht="27.75" customHeight="1" x14ac:dyDescent="0.2">
      <c r="A14" s="201">
        <v>1</v>
      </c>
      <c r="B14" s="306" t="s">
        <v>400</v>
      </c>
      <c r="C14" s="305"/>
      <c r="D14" s="305"/>
      <c r="E14" s="305"/>
      <c r="F14" s="305"/>
      <c r="G14" s="305"/>
      <c r="H14" s="305"/>
    </row>
    <row r="15" spans="1:8" ht="15.75" customHeight="1" x14ac:dyDescent="0.2">
      <c r="A15" s="201">
        <v>2</v>
      </c>
      <c r="B15" s="305" t="s">
        <v>401</v>
      </c>
      <c r="C15" s="305"/>
      <c r="D15" s="305"/>
      <c r="E15" s="305"/>
      <c r="F15" s="305"/>
      <c r="G15" s="305"/>
      <c r="H15" s="305"/>
    </row>
    <row r="16" spans="1:8" ht="57.75" customHeight="1" x14ac:dyDescent="0.2">
      <c r="A16" s="201">
        <v>3</v>
      </c>
      <c r="B16" s="306" t="s">
        <v>402</v>
      </c>
      <c r="C16" s="305"/>
      <c r="D16" s="305"/>
      <c r="E16" s="305"/>
      <c r="F16" s="305"/>
      <c r="G16" s="305"/>
      <c r="H16" s="305"/>
    </row>
    <row r="17" spans="1:8" ht="20.25" customHeight="1" x14ac:dyDescent="0.2">
      <c r="A17" s="201">
        <v>4</v>
      </c>
      <c r="B17" s="305" t="s">
        <v>403</v>
      </c>
      <c r="C17" s="305"/>
      <c r="D17" s="305"/>
      <c r="E17" s="305"/>
      <c r="F17" s="305"/>
      <c r="G17" s="305"/>
      <c r="H17" s="305"/>
    </row>
    <row r="18" spans="1:8" ht="60" customHeight="1" x14ac:dyDescent="0.2">
      <c r="A18" s="201">
        <v>5</v>
      </c>
      <c r="B18" s="306" t="s">
        <v>404</v>
      </c>
      <c r="C18" s="305"/>
      <c r="D18" s="305"/>
      <c r="E18" s="305"/>
      <c r="F18" s="305"/>
      <c r="G18" s="305"/>
      <c r="H18" s="305"/>
    </row>
    <row r="19" spans="1:8" ht="31.5" customHeight="1" x14ac:dyDescent="0.2">
      <c r="A19" s="201">
        <v>6</v>
      </c>
      <c r="B19" s="305" t="s">
        <v>405</v>
      </c>
      <c r="C19" s="305"/>
      <c r="D19" s="305"/>
      <c r="E19" s="305"/>
      <c r="F19" s="305"/>
      <c r="G19" s="305"/>
      <c r="H19" s="305"/>
    </row>
    <row r="20" spans="1:8" ht="27.75" customHeight="1" x14ac:dyDescent="0.2">
      <c r="A20" s="201">
        <v>7</v>
      </c>
      <c r="B20" s="305" t="s">
        <v>406</v>
      </c>
      <c r="C20" s="305"/>
      <c r="D20" s="305"/>
      <c r="E20" s="305"/>
      <c r="F20" s="305"/>
      <c r="G20" s="305"/>
      <c r="H20" s="305"/>
    </row>
    <row r="21" spans="1:8" ht="18" x14ac:dyDescent="0.25">
      <c r="A21" s="200" t="s">
        <v>407</v>
      </c>
      <c r="B21" s="202"/>
      <c r="C21"/>
      <c r="D21"/>
      <c r="E21"/>
      <c r="F21"/>
      <c r="G21"/>
      <c r="H21" s="203"/>
    </row>
    <row r="22" spans="1:8" ht="25.5" customHeight="1" x14ac:dyDescent="0.2">
      <c r="A22" s="201">
        <v>1</v>
      </c>
      <c r="B22" s="305" t="s">
        <v>408</v>
      </c>
      <c r="C22" s="305"/>
      <c r="D22" s="305"/>
      <c r="E22" s="305"/>
      <c r="F22" s="305"/>
      <c r="G22" s="305"/>
      <c r="H22" s="305"/>
    </row>
    <row r="23" spans="1:8" x14ac:dyDescent="0.2">
      <c r="A23" s="201"/>
      <c r="B23" s="202"/>
      <c r="C23"/>
      <c r="D23"/>
      <c r="E23"/>
      <c r="F23"/>
      <c r="G23"/>
      <c r="H23" s="203"/>
    </row>
    <row r="24" spans="1:8" ht="47.25" customHeight="1" x14ac:dyDescent="0.2">
      <c r="A24" s="201">
        <v>2</v>
      </c>
      <c r="B24" s="305" t="s">
        <v>409</v>
      </c>
      <c r="C24" s="305"/>
      <c r="D24" s="305"/>
      <c r="E24" s="305"/>
      <c r="F24" s="305"/>
      <c r="G24" s="305"/>
      <c r="H24" s="305"/>
    </row>
    <row r="25" spans="1:8" ht="53.25" customHeight="1" x14ac:dyDescent="0.2">
      <c r="A25" s="201">
        <v>3</v>
      </c>
      <c r="B25" s="305" t="s">
        <v>410</v>
      </c>
      <c r="C25" s="305"/>
      <c r="D25" s="305"/>
      <c r="E25" s="305"/>
      <c r="F25" s="305"/>
      <c r="G25" s="305"/>
      <c r="H25" s="305"/>
    </row>
    <row r="26" spans="1:8" x14ac:dyDescent="0.2">
      <c r="A26" s="201"/>
      <c r="B26" s="202"/>
      <c r="C26"/>
      <c r="D26"/>
      <c r="E26"/>
      <c r="F26"/>
      <c r="G26"/>
      <c r="H26" s="203"/>
    </row>
    <row r="27" spans="1:8" ht="15.75" x14ac:dyDescent="0.2">
      <c r="A27" s="204"/>
      <c r="B27" s="307" t="s">
        <v>411</v>
      </c>
      <c r="C27" s="307"/>
      <c r="D27" s="307"/>
      <c r="E27" s="307"/>
      <c r="F27" s="307"/>
      <c r="G27" s="307"/>
      <c r="H27" s="307"/>
    </row>
    <row r="28" spans="1:8" x14ac:dyDescent="0.2">
      <c r="A28" s="201"/>
      <c r="B28" s="205"/>
      <c r="C28"/>
      <c r="D28"/>
      <c r="E28"/>
      <c r="F28"/>
      <c r="G28"/>
      <c r="H28" s="203"/>
    </row>
    <row r="29" spans="1:8" ht="26.25" customHeight="1" x14ac:dyDescent="0.2">
      <c r="A29" s="201">
        <v>1</v>
      </c>
      <c r="B29" s="305" t="s">
        <v>412</v>
      </c>
      <c r="C29" s="305"/>
      <c r="D29" s="305"/>
      <c r="E29" s="305"/>
      <c r="F29" s="305"/>
      <c r="G29" s="305"/>
      <c r="H29" s="305"/>
    </row>
    <row r="30" spans="1:8" ht="41.25" customHeight="1" x14ac:dyDescent="0.2">
      <c r="A30" s="201">
        <v>2</v>
      </c>
      <c r="B30" s="305" t="s">
        <v>413</v>
      </c>
      <c r="C30" s="305"/>
      <c r="D30" s="305"/>
      <c r="E30" s="305"/>
      <c r="F30" s="305"/>
      <c r="G30" s="305"/>
      <c r="H30" s="305"/>
    </row>
    <row r="31" spans="1:8" ht="27" customHeight="1" x14ac:dyDescent="0.2">
      <c r="A31" s="201">
        <v>3</v>
      </c>
      <c r="B31" s="305" t="s">
        <v>414</v>
      </c>
      <c r="C31" s="305"/>
      <c r="D31" s="305"/>
      <c r="E31" s="305"/>
      <c r="F31" s="305"/>
      <c r="G31" s="305"/>
      <c r="H31" s="305"/>
    </row>
    <row r="32" spans="1:8" ht="18" customHeight="1" x14ac:dyDescent="0.2">
      <c r="A32" s="201">
        <v>4</v>
      </c>
      <c r="B32" s="306" t="s">
        <v>415</v>
      </c>
      <c r="C32" s="306"/>
      <c r="D32" s="306"/>
      <c r="E32" s="306"/>
      <c r="F32" s="306"/>
      <c r="G32" s="306"/>
      <c r="H32" s="306"/>
    </row>
    <row r="33" spans="1:8" ht="16.5" customHeight="1" x14ac:dyDescent="0.2">
      <c r="A33" s="201">
        <v>5</v>
      </c>
      <c r="B33" s="305" t="s">
        <v>416</v>
      </c>
      <c r="C33" s="305"/>
      <c r="D33" s="305"/>
      <c r="E33" s="305"/>
      <c r="F33" s="305"/>
      <c r="G33" s="305"/>
      <c r="H33" s="305"/>
    </row>
    <row r="34" spans="1:8" ht="54.75" customHeight="1" x14ac:dyDescent="0.2">
      <c r="A34" s="201">
        <v>6</v>
      </c>
      <c r="B34" s="305" t="s">
        <v>417</v>
      </c>
      <c r="C34" s="305"/>
      <c r="D34" s="305"/>
      <c r="E34" s="305"/>
      <c r="F34" s="305"/>
      <c r="G34" s="305"/>
      <c r="H34" s="305"/>
    </row>
  </sheetData>
  <sheetProtection selectLockedCells="1" selectUnlockedCells="1"/>
  <mergeCells count="23">
    <mergeCell ref="B19:H19"/>
    <mergeCell ref="A5:G5"/>
    <mergeCell ref="A4:G4"/>
    <mergeCell ref="A7:G7"/>
    <mergeCell ref="A8:G8"/>
    <mergeCell ref="A9:G9"/>
    <mergeCell ref="A6:G6"/>
    <mergeCell ref="B14:H14"/>
    <mergeCell ref="B15:H15"/>
    <mergeCell ref="B16:H16"/>
    <mergeCell ref="B17:H17"/>
    <mergeCell ref="B18:H18"/>
    <mergeCell ref="B34:H34"/>
    <mergeCell ref="B20:H20"/>
    <mergeCell ref="B22:H22"/>
    <mergeCell ref="B24:H24"/>
    <mergeCell ref="B25:H25"/>
    <mergeCell ref="B27:H27"/>
    <mergeCell ref="B29:H29"/>
    <mergeCell ref="B30:H30"/>
    <mergeCell ref="B31:H31"/>
    <mergeCell ref="B32:H32"/>
    <mergeCell ref="B33:H33"/>
  </mergeCells>
  <pageMargins left="0.75" right="0.55000000000000004" top="0.81" bottom="0.72" header="0.5" footer="0.5"/>
  <pageSetup paperSize="9" scale="87" firstPageNumber="0" orientation="portrait" horizontalDpi="300" verticalDpi="300" r:id="rId1"/>
  <headerFooter differentFirst="1" alignWithMargins="0">
    <oddHeader>&amp;CPopis del in projektantski predračun PZI "Razširitev pokopališča Škocjan" 2022  
IZVLEČEK GROBNO POLJE 6</oddHeader>
    <oddFooter>&amp;LJunij, 2022&amp;CIC032/22&amp;R2</oddFooter>
    <firstFooter>&amp;LJunij, 2022&amp;CIC032/22&amp;R&amp;P/&amp;N</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6">
    <tabColor theme="8" tint="0.39997558519241921"/>
    <pageSetUpPr fitToPage="1"/>
  </sheetPr>
  <dimension ref="A1:U435"/>
  <sheetViews>
    <sheetView tabSelected="1" view="pageBreakPreview" zoomScaleNormal="100" zoomScaleSheetLayoutView="100" workbookViewId="0">
      <selection activeCell="E316" sqref="E316"/>
    </sheetView>
  </sheetViews>
  <sheetFormatPr defaultRowHeight="12.75" x14ac:dyDescent="0.2"/>
  <cols>
    <col min="1" max="1" width="8.7109375" style="1" customWidth="1"/>
    <col min="2" max="2" width="65.85546875" style="2" customWidth="1"/>
    <col min="3" max="3" width="6.5703125" style="3" customWidth="1"/>
    <col min="4" max="4" width="8.7109375" style="13" customWidth="1"/>
    <col min="5" max="5" width="10.140625" style="233" customWidth="1"/>
    <col min="6" max="6" width="21" style="233" customWidth="1"/>
    <col min="7" max="7" width="10.140625" style="5" hidden="1" customWidth="1"/>
    <col min="8" max="8" width="0" style="24" hidden="1" customWidth="1"/>
    <col min="9" max="9" width="12" style="3" customWidth="1"/>
    <col min="10" max="12" width="9.140625" style="3"/>
    <col min="13" max="13" width="7" style="3" customWidth="1"/>
    <col min="14" max="16384" width="9.140625" style="3"/>
  </cols>
  <sheetData>
    <row r="1" spans="1:6" ht="18" customHeight="1" x14ac:dyDescent="0.25">
      <c r="A1" s="329" t="s">
        <v>240</v>
      </c>
      <c r="B1" s="329"/>
      <c r="C1" s="117"/>
      <c r="D1" s="118"/>
      <c r="E1" s="225"/>
      <c r="F1" s="225"/>
    </row>
    <row r="2" spans="1:6" ht="15.75" customHeight="1" x14ac:dyDescent="0.25">
      <c r="A2" s="330"/>
      <c r="B2" s="330"/>
      <c r="C2" s="117"/>
      <c r="D2" s="118"/>
      <c r="E2" s="225"/>
      <c r="F2" s="225"/>
    </row>
    <row r="3" spans="1:6" ht="15.75" customHeight="1" x14ac:dyDescent="0.2">
      <c r="A3" s="331" t="s">
        <v>425</v>
      </c>
      <c r="B3" s="331"/>
      <c r="C3" s="206" t="s">
        <v>6</v>
      </c>
      <c r="D3" s="351" t="s">
        <v>7</v>
      </c>
      <c r="E3" s="227" t="s">
        <v>8</v>
      </c>
      <c r="F3" s="226" t="s">
        <v>9</v>
      </c>
    </row>
    <row r="4" spans="1:6" x14ac:dyDescent="0.2">
      <c r="A4" s="100" t="s">
        <v>10</v>
      </c>
      <c r="B4" s="207" t="s">
        <v>419</v>
      </c>
      <c r="C4" s="206" t="s">
        <v>79</v>
      </c>
      <c r="D4" s="351">
        <v>210</v>
      </c>
      <c r="E4" s="227">
        <v>0</v>
      </c>
      <c r="F4" s="227">
        <f>+E4*D4</f>
        <v>0</v>
      </c>
    </row>
    <row r="5" spans="1:6" ht="38.25" x14ac:dyDescent="0.2">
      <c r="A5" s="100" t="s">
        <v>49</v>
      </c>
      <c r="B5" s="124" t="s">
        <v>428</v>
      </c>
      <c r="C5" s="62" t="s">
        <v>420</v>
      </c>
      <c r="D5" s="352">
        <v>1</v>
      </c>
      <c r="E5" s="229">
        <v>0</v>
      </c>
      <c r="F5" s="229">
        <f>+E5*D5</f>
        <v>0</v>
      </c>
    </row>
    <row r="6" spans="1:6" ht="15.75" customHeight="1" x14ac:dyDescent="0.2">
      <c r="A6" s="332" t="s">
        <v>450</v>
      </c>
      <c r="B6" s="332"/>
      <c r="C6" s="59"/>
      <c r="D6" s="352"/>
      <c r="E6" s="229"/>
      <c r="F6" s="230">
        <f>SUM(F4:F5)</f>
        <v>0</v>
      </c>
    </row>
    <row r="7" spans="1:6" ht="15.75" customHeight="1" x14ac:dyDescent="0.25">
      <c r="A7" s="181"/>
      <c r="B7" s="181"/>
      <c r="C7" s="117"/>
      <c r="D7" s="118"/>
      <c r="E7" s="225"/>
      <c r="F7" s="225"/>
    </row>
    <row r="8" spans="1:6" ht="15.75" customHeight="1" x14ac:dyDescent="0.2">
      <c r="A8" s="335" t="s">
        <v>426</v>
      </c>
      <c r="B8" s="335"/>
      <c r="C8" s="62" t="s">
        <v>6</v>
      </c>
      <c r="D8" s="352" t="s">
        <v>7</v>
      </c>
      <c r="E8" s="229" t="s">
        <v>8</v>
      </c>
      <c r="F8" s="228" t="s">
        <v>9</v>
      </c>
    </row>
    <row r="9" spans="1:6" ht="15.75" customHeight="1" x14ac:dyDescent="0.2">
      <c r="A9" s="53" t="s">
        <v>17</v>
      </c>
      <c r="B9" s="208" t="s">
        <v>50</v>
      </c>
      <c r="C9" s="209"/>
      <c r="D9" s="203"/>
      <c r="E9" s="282"/>
      <c r="F9" s="231"/>
    </row>
    <row r="10" spans="1:6" ht="25.5" x14ac:dyDescent="0.2">
      <c r="A10" s="53" t="s">
        <v>19</v>
      </c>
      <c r="B10" s="212" t="s">
        <v>421</v>
      </c>
      <c r="C10" s="206" t="s">
        <v>22</v>
      </c>
      <c r="D10" s="351">
        <v>620</v>
      </c>
      <c r="E10" s="227">
        <v>0</v>
      </c>
      <c r="F10" s="229">
        <f>+D10*E10</f>
        <v>0</v>
      </c>
    </row>
    <row r="11" spans="1:6" ht="25.5" x14ac:dyDescent="0.2">
      <c r="A11" s="53" t="s">
        <v>52</v>
      </c>
      <c r="B11" s="211" t="s">
        <v>101</v>
      </c>
      <c r="C11" s="206" t="s">
        <v>13</v>
      </c>
      <c r="D11" s="351">
        <v>2</v>
      </c>
      <c r="E11" s="227">
        <v>0</v>
      </c>
      <c r="F11" s="229">
        <f>+D11*E11</f>
        <v>0</v>
      </c>
    </row>
    <row r="12" spans="1:6" ht="15.75" customHeight="1" x14ac:dyDescent="0.2">
      <c r="A12" s="53" t="s">
        <v>279</v>
      </c>
      <c r="B12" s="208" t="s">
        <v>18</v>
      </c>
      <c r="C12" s="117"/>
      <c r="D12" s="118"/>
      <c r="E12" s="225"/>
      <c r="F12" s="225"/>
    </row>
    <row r="13" spans="1:6" ht="15.75" customHeight="1" x14ac:dyDescent="0.2">
      <c r="A13" s="53" t="s">
        <v>21</v>
      </c>
      <c r="B13" s="211" t="s">
        <v>102</v>
      </c>
      <c r="C13" s="206" t="s">
        <v>20</v>
      </c>
      <c r="D13" s="352">
        <f>+D10*0.2</f>
        <v>124</v>
      </c>
      <c r="E13" s="229">
        <v>0</v>
      </c>
      <c r="F13" s="229">
        <f>+D13*E13</f>
        <v>0</v>
      </c>
    </row>
    <row r="14" spans="1:6" ht="15.75" customHeight="1" x14ac:dyDescent="0.2">
      <c r="A14" s="53" t="s">
        <v>23</v>
      </c>
      <c r="B14" s="210" t="s">
        <v>24</v>
      </c>
      <c r="C14" s="117"/>
      <c r="D14" s="118"/>
      <c r="E14" s="225"/>
      <c r="F14" s="225"/>
    </row>
    <row r="15" spans="1:6" ht="25.5" x14ac:dyDescent="0.2">
      <c r="A15" s="53" t="s">
        <v>25</v>
      </c>
      <c r="B15" s="211" t="s">
        <v>422</v>
      </c>
      <c r="C15" s="206" t="s">
        <v>20</v>
      </c>
      <c r="D15" s="352">
        <f>+D10*0.15</f>
        <v>93</v>
      </c>
      <c r="E15" s="229">
        <v>0</v>
      </c>
      <c r="F15" s="229">
        <f>+D15*E15</f>
        <v>0</v>
      </c>
    </row>
    <row r="16" spans="1:6" ht="15.75" customHeight="1" x14ac:dyDescent="0.2">
      <c r="A16" s="53" t="s">
        <v>237</v>
      </c>
      <c r="B16" s="210" t="s">
        <v>423</v>
      </c>
      <c r="C16" s="117"/>
      <c r="D16" s="118"/>
      <c r="E16" s="225"/>
      <c r="F16" s="225"/>
    </row>
    <row r="17" spans="1:7" ht="15.75" customHeight="1" x14ac:dyDescent="0.2">
      <c r="A17" s="53" t="s">
        <v>238</v>
      </c>
      <c r="B17" s="187" t="s">
        <v>424</v>
      </c>
      <c r="C17" s="62" t="s">
        <v>22</v>
      </c>
      <c r="D17" s="352">
        <f>+D10</f>
        <v>620</v>
      </c>
      <c r="E17" s="229">
        <v>0</v>
      </c>
      <c r="F17" s="229">
        <f>+D17*E17</f>
        <v>0</v>
      </c>
    </row>
    <row r="18" spans="1:7" ht="15.75" customHeight="1" x14ac:dyDescent="0.2">
      <c r="A18" s="332" t="s">
        <v>449</v>
      </c>
      <c r="B18" s="332"/>
      <c r="C18" s="59"/>
      <c r="D18" s="352"/>
      <c r="E18" s="229"/>
      <c r="F18" s="230">
        <f>SUM(F10:F17)</f>
        <v>0</v>
      </c>
    </row>
    <row r="19" spans="1:7" ht="15.75" customHeight="1" x14ac:dyDescent="0.25">
      <c r="A19" s="181"/>
      <c r="B19" s="181"/>
      <c r="C19" s="117"/>
      <c r="D19" s="118"/>
      <c r="E19" s="225"/>
      <c r="F19" s="225"/>
    </row>
    <row r="20" spans="1:7" x14ac:dyDescent="0.2">
      <c r="A20" s="331" t="s">
        <v>427</v>
      </c>
      <c r="B20" s="331"/>
      <c r="C20" s="62" t="s">
        <v>6</v>
      </c>
      <c r="D20" s="352" t="s">
        <v>7</v>
      </c>
      <c r="E20" s="229" t="s">
        <v>8</v>
      </c>
      <c r="F20" s="228" t="s">
        <v>9</v>
      </c>
      <c r="G20" s="12"/>
    </row>
    <row r="21" spans="1:7" x14ac:dyDescent="0.2">
      <c r="A21" s="156" t="s">
        <v>29</v>
      </c>
      <c r="B21" s="10" t="s">
        <v>11</v>
      </c>
      <c r="C21" s="70"/>
      <c r="D21" s="353"/>
      <c r="F21" s="232"/>
      <c r="G21" s="12"/>
    </row>
    <row r="22" spans="1:7" ht="25.5" x14ac:dyDescent="0.2">
      <c r="A22" s="114" t="s">
        <v>30</v>
      </c>
      <c r="B22" s="124" t="s">
        <v>105</v>
      </c>
      <c r="C22" s="62" t="s">
        <v>13</v>
      </c>
      <c r="D22" s="352">
        <v>1</v>
      </c>
      <c r="E22" s="229">
        <v>0</v>
      </c>
      <c r="F22" s="229">
        <f t="shared" ref="F22:F32" si="0">+D22*E22</f>
        <v>0</v>
      </c>
      <c r="G22" s="12"/>
    </row>
    <row r="23" spans="1:7" ht="25.5" x14ac:dyDescent="0.2">
      <c r="A23" s="114" t="s">
        <v>32</v>
      </c>
      <c r="B23" s="57" t="s">
        <v>99</v>
      </c>
      <c r="C23" s="62" t="s">
        <v>13</v>
      </c>
      <c r="D23" s="352">
        <v>3</v>
      </c>
      <c r="E23" s="229">
        <v>0</v>
      </c>
      <c r="F23" s="229">
        <f t="shared" si="0"/>
        <v>0</v>
      </c>
    </row>
    <row r="24" spans="1:7" ht="25.5" x14ac:dyDescent="0.2">
      <c r="A24" s="114" t="s">
        <v>43</v>
      </c>
      <c r="B24" s="57" t="s">
        <v>325</v>
      </c>
      <c r="C24" s="62" t="s">
        <v>13</v>
      </c>
      <c r="D24" s="352">
        <v>3</v>
      </c>
      <c r="E24" s="229">
        <v>0</v>
      </c>
      <c r="F24" s="229">
        <f t="shared" si="0"/>
        <v>0</v>
      </c>
    </row>
    <row r="25" spans="1:7" ht="25.5" x14ac:dyDescent="0.2">
      <c r="A25" s="114" t="s">
        <v>54</v>
      </c>
      <c r="B25" s="57" t="s">
        <v>321</v>
      </c>
      <c r="C25" s="62" t="s">
        <v>13</v>
      </c>
      <c r="D25" s="352">
        <v>4</v>
      </c>
      <c r="E25" s="229">
        <v>0</v>
      </c>
      <c r="F25" s="229">
        <f t="shared" si="0"/>
        <v>0</v>
      </c>
    </row>
    <row r="26" spans="1:7" ht="25.5" x14ac:dyDescent="0.2">
      <c r="A26" s="114" t="s">
        <v>55</v>
      </c>
      <c r="B26" s="57" t="s">
        <v>322</v>
      </c>
      <c r="C26" s="62" t="s">
        <v>13</v>
      </c>
      <c r="D26" s="352">
        <v>11</v>
      </c>
      <c r="E26" s="229">
        <v>0</v>
      </c>
      <c r="F26" s="229">
        <f t="shared" si="0"/>
        <v>0</v>
      </c>
    </row>
    <row r="27" spans="1:7" ht="25.5" x14ac:dyDescent="0.2">
      <c r="A27" s="114" t="s">
        <v>317</v>
      </c>
      <c r="B27" s="57" t="s">
        <v>323</v>
      </c>
      <c r="C27" s="62" t="s">
        <v>13</v>
      </c>
      <c r="D27" s="352">
        <v>18</v>
      </c>
      <c r="E27" s="229">
        <v>0</v>
      </c>
      <c r="F27" s="229">
        <f t="shared" si="0"/>
        <v>0</v>
      </c>
    </row>
    <row r="28" spans="1:7" ht="25.5" x14ac:dyDescent="0.2">
      <c r="A28" s="114" t="s">
        <v>429</v>
      </c>
      <c r="B28" s="57" t="s">
        <v>318</v>
      </c>
      <c r="C28" s="62" t="s">
        <v>13</v>
      </c>
      <c r="D28" s="352">
        <v>4</v>
      </c>
      <c r="E28" s="229">
        <v>0</v>
      </c>
      <c r="F28" s="229">
        <f t="shared" si="0"/>
        <v>0</v>
      </c>
    </row>
    <row r="29" spans="1:7" ht="25.5" x14ac:dyDescent="0.2">
      <c r="A29" s="114" t="s">
        <v>430</v>
      </c>
      <c r="B29" s="57" t="s">
        <v>319</v>
      </c>
      <c r="C29" s="62" t="s">
        <v>13</v>
      </c>
      <c r="D29" s="352">
        <v>11</v>
      </c>
      <c r="E29" s="229">
        <v>0</v>
      </c>
      <c r="F29" s="229">
        <f t="shared" si="0"/>
        <v>0</v>
      </c>
    </row>
    <row r="30" spans="1:7" ht="25.5" x14ac:dyDescent="0.2">
      <c r="A30" s="114" t="s">
        <v>431</v>
      </c>
      <c r="B30" s="57" t="s">
        <v>320</v>
      </c>
      <c r="C30" s="62" t="s">
        <v>13</v>
      </c>
      <c r="D30" s="352">
        <v>16</v>
      </c>
      <c r="E30" s="229">
        <v>0</v>
      </c>
      <c r="F30" s="229">
        <f t="shared" si="0"/>
        <v>0</v>
      </c>
    </row>
    <row r="31" spans="1:7" ht="25.5" x14ac:dyDescent="0.2">
      <c r="A31" s="114" t="s">
        <v>432</v>
      </c>
      <c r="B31" s="57" t="s">
        <v>324</v>
      </c>
      <c r="C31" s="62" t="s">
        <v>13</v>
      </c>
      <c r="D31" s="352">
        <v>12</v>
      </c>
      <c r="E31" s="229">
        <v>0</v>
      </c>
      <c r="F31" s="229">
        <f t="shared" si="0"/>
        <v>0</v>
      </c>
    </row>
    <row r="32" spans="1:7" ht="25.5" x14ac:dyDescent="0.2">
      <c r="A32" s="114" t="s">
        <v>433</v>
      </c>
      <c r="B32" s="57" t="s">
        <v>418</v>
      </c>
      <c r="C32" s="62" t="s">
        <v>13</v>
      </c>
      <c r="D32" s="352">
        <v>9</v>
      </c>
      <c r="E32" s="229">
        <v>0</v>
      </c>
      <c r="F32" s="229">
        <f t="shared" si="0"/>
        <v>0</v>
      </c>
    </row>
    <row r="33" spans="1:7" x14ac:dyDescent="0.2">
      <c r="A33" s="114" t="s">
        <v>434</v>
      </c>
      <c r="B33" s="184" t="s">
        <v>349</v>
      </c>
      <c r="C33" s="188" t="s">
        <v>31</v>
      </c>
      <c r="D33" s="354">
        <v>70</v>
      </c>
      <c r="E33" s="229">
        <v>0</v>
      </c>
      <c r="F33" s="229">
        <f>D33*E33</f>
        <v>0</v>
      </c>
    </row>
    <row r="34" spans="1:7" ht="25.5" x14ac:dyDescent="0.2">
      <c r="A34" s="114" t="s">
        <v>435</v>
      </c>
      <c r="B34" s="57" t="s">
        <v>352</v>
      </c>
      <c r="C34" s="188" t="s">
        <v>13</v>
      </c>
      <c r="D34" s="354">
        <v>1</v>
      </c>
      <c r="E34" s="229">
        <v>0</v>
      </c>
      <c r="F34" s="229">
        <f>D34*E34</f>
        <v>0</v>
      </c>
    </row>
    <row r="35" spans="1:7" x14ac:dyDescent="0.2">
      <c r="A35" s="114" t="s">
        <v>436</v>
      </c>
      <c r="B35" s="57" t="s">
        <v>150</v>
      </c>
      <c r="C35" s="62" t="s">
        <v>13</v>
      </c>
      <c r="D35" s="352">
        <v>8</v>
      </c>
      <c r="E35" s="229">
        <v>0</v>
      </c>
      <c r="F35" s="229">
        <f>+D35*E35</f>
        <v>0</v>
      </c>
    </row>
    <row r="36" spans="1:7" x14ac:dyDescent="0.2">
      <c r="A36" s="156"/>
      <c r="C36" s="113"/>
      <c r="D36" s="353"/>
      <c r="F36" s="234"/>
    </row>
    <row r="37" spans="1:7" x14ac:dyDescent="0.2">
      <c r="A37" s="53" t="s">
        <v>33</v>
      </c>
      <c r="B37" s="60" t="s">
        <v>50</v>
      </c>
      <c r="C37" s="62"/>
      <c r="D37" s="352"/>
      <c r="E37" s="229"/>
      <c r="F37" s="229"/>
      <c r="G37" s="38"/>
    </row>
    <row r="38" spans="1:7" ht="25.5" x14ac:dyDescent="0.2">
      <c r="A38" s="213" t="s">
        <v>35</v>
      </c>
      <c r="B38" s="57" t="s">
        <v>100</v>
      </c>
      <c r="C38" s="62" t="s">
        <v>13</v>
      </c>
      <c r="D38" s="352">
        <v>4</v>
      </c>
      <c r="E38" s="229">
        <v>0</v>
      </c>
      <c r="F38" s="229">
        <f>D38*E38</f>
        <v>0</v>
      </c>
      <c r="G38" s="38"/>
    </row>
    <row r="39" spans="1:7" ht="25.5" x14ac:dyDescent="0.2">
      <c r="A39" s="175" t="s">
        <v>36</v>
      </c>
      <c r="B39" s="57" t="s">
        <v>101</v>
      </c>
      <c r="C39" s="62" t="s">
        <v>13</v>
      </c>
      <c r="D39" s="352">
        <v>1</v>
      </c>
      <c r="E39" s="229">
        <v>0</v>
      </c>
      <c r="F39" s="229">
        <f>D39*E39</f>
        <v>0</v>
      </c>
      <c r="G39" s="38"/>
    </row>
    <row r="40" spans="1:7" x14ac:dyDescent="0.2">
      <c r="A40" s="114" t="s">
        <v>44</v>
      </c>
      <c r="B40" s="57" t="s">
        <v>212</v>
      </c>
      <c r="C40" s="62" t="s">
        <v>31</v>
      </c>
      <c r="D40" s="352">
        <v>100</v>
      </c>
      <c r="E40" s="229">
        <v>0</v>
      </c>
      <c r="F40" s="229">
        <f>D40*E40</f>
        <v>0</v>
      </c>
      <c r="G40" s="38"/>
    </row>
    <row r="41" spans="1:7" x14ac:dyDescent="0.2">
      <c r="A41" s="156"/>
      <c r="C41" s="113"/>
      <c r="D41" s="353"/>
      <c r="F41" s="234"/>
      <c r="G41" s="38"/>
    </row>
    <row r="42" spans="1:7" x14ac:dyDescent="0.2">
      <c r="A42" s="53" t="s">
        <v>60</v>
      </c>
      <c r="B42" s="60" t="s">
        <v>51</v>
      </c>
      <c r="C42" s="62"/>
      <c r="D42" s="352"/>
      <c r="E42" s="229"/>
      <c r="F42" s="229"/>
    </row>
    <row r="43" spans="1:7" ht="38.25" x14ac:dyDescent="0.2">
      <c r="A43" s="53" t="s">
        <v>62</v>
      </c>
      <c r="B43" s="214" t="s">
        <v>103</v>
      </c>
      <c r="C43" s="62" t="s">
        <v>13</v>
      </c>
      <c r="D43" s="352">
        <v>1</v>
      </c>
      <c r="E43" s="229">
        <v>0</v>
      </c>
      <c r="F43" s="229">
        <f>+D43*E43</f>
        <v>0</v>
      </c>
    </row>
    <row r="44" spans="1:7" x14ac:dyDescent="0.2">
      <c r="A44" s="332" t="s">
        <v>448</v>
      </c>
      <c r="B44" s="332"/>
      <c r="C44" s="59"/>
      <c r="D44" s="352"/>
      <c r="E44" s="229"/>
      <c r="F44" s="230">
        <f>SUM(F22:F43)</f>
        <v>0</v>
      </c>
    </row>
    <row r="45" spans="1:7" x14ac:dyDescent="0.2">
      <c r="A45" s="162"/>
      <c r="B45" s="148"/>
      <c r="C45" s="117"/>
      <c r="D45" s="118"/>
      <c r="E45" s="225"/>
      <c r="F45" s="225"/>
    </row>
    <row r="46" spans="1:7" x14ac:dyDescent="0.2">
      <c r="A46" s="333" t="s">
        <v>437</v>
      </c>
      <c r="B46" s="334"/>
      <c r="C46" s="174" t="s">
        <v>6</v>
      </c>
      <c r="D46" s="355" t="s">
        <v>7</v>
      </c>
      <c r="E46" s="235" t="s">
        <v>8</v>
      </c>
      <c r="F46" s="236" t="s">
        <v>9</v>
      </c>
      <c r="G46" s="12"/>
    </row>
    <row r="47" spans="1:7" x14ac:dyDescent="0.2">
      <c r="A47" s="156" t="s">
        <v>38</v>
      </c>
      <c r="B47" s="10" t="s">
        <v>18</v>
      </c>
      <c r="D47" s="353"/>
      <c r="F47" s="234"/>
    </row>
    <row r="48" spans="1:7" x14ac:dyDescent="0.2">
      <c r="A48" s="155" t="s">
        <v>39</v>
      </c>
      <c r="B48" s="54" t="s">
        <v>102</v>
      </c>
      <c r="C48" s="62" t="s">
        <v>20</v>
      </c>
      <c r="D48" s="352">
        <f>2.65*20+5*7.5+7.5*5.2+5.22*4+6*8</f>
        <v>198.38</v>
      </c>
      <c r="E48" s="237">
        <v>0</v>
      </c>
      <c r="F48" s="238">
        <f>+D48*E48</f>
        <v>0</v>
      </c>
    </row>
    <row r="49" spans="1:14" ht="51" x14ac:dyDescent="0.2">
      <c r="A49" s="154" t="s">
        <v>45</v>
      </c>
      <c r="B49" s="170" t="s">
        <v>232</v>
      </c>
      <c r="C49" s="113" t="s">
        <v>20</v>
      </c>
      <c r="D49" s="356">
        <f>11*20+7.5*30+7.5*44+4*44.5+58*8</f>
        <v>1417</v>
      </c>
      <c r="E49" s="233">
        <v>0</v>
      </c>
      <c r="F49" s="239">
        <f>+D49*E49</f>
        <v>0</v>
      </c>
      <c r="M49" s="5"/>
      <c r="N49" s="24"/>
    </row>
    <row r="50" spans="1:14" ht="51" x14ac:dyDescent="0.2">
      <c r="A50" s="53" t="s">
        <v>205</v>
      </c>
      <c r="B50" s="57" t="s">
        <v>234</v>
      </c>
      <c r="C50" s="62" t="s">
        <v>20</v>
      </c>
      <c r="D50" s="352">
        <f>9*20+7.5*22+7.5*26+36*4+8*54</f>
        <v>1116</v>
      </c>
      <c r="E50" s="229">
        <v>0</v>
      </c>
      <c r="F50" s="229">
        <f>+D50*E50</f>
        <v>0</v>
      </c>
      <c r="M50" s="5"/>
      <c r="N50" s="24"/>
    </row>
    <row r="51" spans="1:14" x14ac:dyDescent="0.2">
      <c r="A51" s="156"/>
      <c r="C51" s="70"/>
      <c r="D51" s="353"/>
      <c r="F51" s="234"/>
      <c r="M51" s="5"/>
      <c r="N51" s="24"/>
    </row>
    <row r="52" spans="1:14" ht="25.5" x14ac:dyDescent="0.2">
      <c r="A52" s="53" t="s">
        <v>73</v>
      </c>
      <c r="B52" s="60" t="s">
        <v>233</v>
      </c>
      <c r="C52" s="59"/>
      <c r="D52" s="352"/>
      <c r="E52" s="229"/>
      <c r="F52" s="229"/>
      <c r="M52" s="5"/>
      <c r="N52" s="24"/>
    </row>
    <row r="53" spans="1:14" ht="38.25" x14ac:dyDescent="0.2">
      <c r="A53" s="153" t="s">
        <v>74</v>
      </c>
      <c r="B53" s="169" t="s">
        <v>121</v>
      </c>
      <c r="C53" s="135" t="s">
        <v>22</v>
      </c>
      <c r="D53" s="357">
        <v>450</v>
      </c>
      <c r="E53" s="240">
        <v>0</v>
      </c>
      <c r="F53" s="241">
        <f t="shared" ref="F53:F58" si="1">+D53*E53</f>
        <v>0</v>
      </c>
      <c r="M53" s="71"/>
      <c r="N53" s="24"/>
    </row>
    <row r="54" spans="1:14" ht="51" x14ac:dyDescent="0.2">
      <c r="A54" s="153" t="s">
        <v>75</v>
      </c>
      <c r="B54" s="57" t="s">
        <v>309</v>
      </c>
      <c r="C54" s="62" t="s">
        <v>20</v>
      </c>
      <c r="D54" s="352">
        <f>3.86*24+194*0.3</f>
        <v>150.84</v>
      </c>
      <c r="E54" s="229">
        <v>0</v>
      </c>
      <c r="F54" s="242">
        <f t="shared" si="1"/>
        <v>0</v>
      </c>
      <c r="M54" s="71"/>
      <c r="N54" s="24"/>
    </row>
    <row r="55" spans="1:14" ht="51" x14ac:dyDescent="0.2">
      <c r="A55" s="153" t="s">
        <v>227</v>
      </c>
      <c r="B55" s="57" t="s">
        <v>310</v>
      </c>
      <c r="C55" s="62" t="s">
        <v>20</v>
      </c>
      <c r="D55" s="352">
        <f>1.89*18+1.89*16+256*0.5</f>
        <v>192.26</v>
      </c>
      <c r="E55" s="229">
        <v>0</v>
      </c>
      <c r="F55" s="243">
        <f t="shared" si="1"/>
        <v>0</v>
      </c>
      <c r="M55" s="71"/>
      <c r="N55" s="24"/>
    </row>
    <row r="56" spans="1:14" ht="38.25" x14ac:dyDescent="0.2">
      <c r="A56" s="153" t="s">
        <v>228</v>
      </c>
      <c r="B56" s="54" t="s">
        <v>194</v>
      </c>
      <c r="C56" s="62" t="s">
        <v>20</v>
      </c>
      <c r="D56" s="352">
        <f>256*0.2</f>
        <v>51.2</v>
      </c>
      <c r="E56" s="229">
        <v>0</v>
      </c>
      <c r="F56" s="244">
        <f t="shared" si="1"/>
        <v>0</v>
      </c>
      <c r="M56" s="71"/>
      <c r="N56" s="24"/>
    </row>
    <row r="57" spans="1:14" ht="25.5" x14ac:dyDescent="0.2">
      <c r="A57" s="153" t="s">
        <v>296</v>
      </c>
      <c r="B57" s="57" t="s">
        <v>123</v>
      </c>
      <c r="C57" s="62" t="s">
        <v>22</v>
      </c>
      <c r="D57" s="352">
        <f>256+110</f>
        <v>366</v>
      </c>
      <c r="E57" s="229">
        <v>0</v>
      </c>
      <c r="F57" s="238">
        <f t="shared" si="1"/>
        <v>0</v>
      </c>
      <c r="G57" s="71"/>
    </row>
    <row r="58" spans="1:14" ht="25.5" x14ac:dyDescent="0.2">
      <c r="A58" s="153" t="s">
        <v>438</v>
      </c>
      <c r="B58" s="57" t="s">
        <v>124</v>
      </c>
      <c r="C58" s="62" t="s">
        <v>22</v>
      </c>
      <c r="D58" s="352">
        <f>200+(110-48*0.49)</f>
        <v>286.48</v>
      </c>
      <c r="E58" s="229">
        <v>0</v>
      </c>
      <c r="F58" s="238">
        <f t="shared" si="1"/>
        <v>0</v>
      </c>
      <c r="G58" s="71"/>
    </row>
    <row r="59" spans="1:14" x14ac:dyDescent="0.2">
      <c r="A59" s="156"/>
      <c r="C59" s="70"/>
      <c r="D59" s="353"/>
      <c r="F59" s="234"/>
      <c r="G59" s="71"/>
    </row>
    <row r="60" spans="1:14" x14ac:dyDescent="0.2">
      <c r="A60" s="215" t="s">
        <v>76</v>
      </c>
      <c r="B60" s="60" t="s">
        <v>24</v>
      </c>
      <c r="C60" s="59"/>
      <c r="D60" s="352"/>
      <c r="E60" s="229"/>
      <c r="F60" s="229"/>
    </row>
    <row r="61" spans="1:14" ht="51" x14ac:dyDescent="0.2">
      <c r="A61" s="53" t="s">
        <v>77</v>
      </c>
      <c r="B61" s="57" t="s">
        <v>311</v>
      </c>
      <c r="C61" s="62" t="s">
        <v>20</v>
      </c>
      <c r="D61" s="352">
        <v>603</v>
      </c>
      <c r="E61" s="229">
        <v>0</v>
      </c>
      <c r="F61" s="229">
        <f t="shared" ref="F61:F66" si="2">+D61*E61</f>
        <v>0</v>
      </c>
      <c r="G61" s="71"/>
      <c r="M61" s="90"/>
    </row>
    <row r="62" spans="1:14" ht="51" x14ac:dyDescent="0.2">
      <c r="A62" s="53" t="s">
        <v>439</v>
      </c>
      <c r="B62" s="169" t="s">
        <v>312</v>
      </c>
      <c r="C62" s="135" t="s">
        <v>20</v>
      </c>
      <c r="D62" s="357">
        <v>50</v>
      </c>
      <c r="E62" s="240">
        <v>0</v>
      </c>
      <c r="F62" s="240">
        <f t="shared" si="2"/>
        <v>0</v>
      </c>
      <c r="G62" s="71"/>
    </row>
    <row r="63" spans="1:14" ht="51" x14ac:dyDescent="0.2">
      <c r="A63" s="53" t="s">
        <v>440</v>
      </c>
      <c r="B63" s="57" t="s">
        <v>327</v>
      </c>
      <c r="C63" s="62" t="s">
        <v>20</v>
      </c>
      <c r="D63" s="352">
        <f>54*20+20*5.87</f>
        <v>1197.4000000000001</v>
      </c>
      <c r="E63" s="229">
        <v>0</v>
      </c>
      <c r="F63" s="229">
        <f t="shared" si="2"/>
        <v>0</v>
      </c>
      <c r="G63" s="71"/>
    </row>
    <row r="64" spans="1:14" ht="38.25" x14ac:dyDescent="0.2">
      <c r="A64" s="53" t="s">
        <v>441</v>
      </c>
      <c r="B64" s="55" t="s">
        <v>313</v>
      </c>
      <c r="C64" s="135" t="s">
        <v>20</v>
      </c>
      <c r="D64" s="358">
        <v>100</v>
      </c>
      <c r="E64" s="240">
        <v>0</v>
      </c>
      <c r="F64" s="234">
        <f t="shared" si="2"/>
        <v>0</v>
      </c>
      <c r="G64" s="71"/>
    </row>
    <row r="65" spans="1:10" ht="25.5" x14ac:dyDescent="0.2">
      <c r="A65" s="53" t="s">
        <v>442</v>
      </c>
      <c r="B65" s="57" t="s">
        <v>316</v>
      </c>
      <c r="C65" s="62" t="s">
        <v>20</v>
      </c>
      <c r="D65" s="352">
        <f>87*0.2</f>
        <v>17.400000000000002</v>
      </c>
      <c r="E65" s="229">
        <v>0</v>
      </c>
      <c r="F65" s="243">
        <f t="shared" si="2"/>
        <v>0</v>
      </c>
      <c r="G65" s="71"/>
    </row>
    <row r="66" spans="1:10" ht="25.5" x14ac:dyDescent="0.2">
      <c r="A66" s="53" t="s">
        <v>443</v>
      </c>
      <c r="B66" s="57" t="s">
        <v>315</v>
      </c>
      <c r="C66" s="62" t="s">
        <v>20</v>
      </c>
      <c r="D66" s="352">
        <f>176*0.25</f>
        <v>44</v>
      </c>
      <c r="E66" s="229">
        <v>0</v>
      </c>
      <c r="F66" s="243">
        <f t="shared" si="2"/>
        <v>0</v>
      </c>
      <c r="G66" s="71"/>
    </row>
    <row r="67" spans="1:10" x14ac:dyDescent="0.2">
      <c r="A67" s="156"/>
      <c r="C67" s="70"/>
      <c r="D67" s="353"/>
      <c r="F67" s="234"/>
      <c r="G67" s="71"/>
    </row>
    <row r="68" spans="1:10" x14ac:dyDescent="0.2">
      <c r="A68" s="215" t="s">
        <v>129</v>
      </c>
      <c r="B68" s="60" t="s">
        <v>236</v>
      </c>
      <c r="C68" s="59"/>
      <c r="D68" s="352"/>
      <c r="E68" s="229"/>
      <c r="F68" s="229"/>
      <c r="G68" s="71"/>
    </row>
    <row r="69" spans="1:10" ht="38.25" x14ac:dyDescent="0.2">
      <c r="A69" s="53" t="s">
        <v>130</v>
      </c>
      <c r="B69" s="57" t="s">
        <v>314</v>
      </c>
      <c r="C69" s="62" t="s">
        <v>20</v>
      </c>
      <c r="D69" s="359">
        <f>+D13+D48+D49+D50-D61-D62-D63-D218+D306</f>
        <v>980.82399999999996</v>
      </c>
      <c r="E69" s="229">
        <v>0</v>
      </c>
      <c r="F69" s="229">
        <f>D69*E69</f>
        <v>0</v>
      </c>
    </row>
    <row r="70" spans="1:10" x14ac:dyDescent="0.2">
      <c r="A70" s="337" t="s">
        <v>447</v>
      </c>
      <c r="B70" s="338"/>
      <c r="C70" s="161"/>
      <c r="D70" s="360"/>
      <c r="E70" s="245"/>
      <c r="F70" s="246">
        <f>SUM(F48:F69)</f>
        <v>0</v>
      </c>
    </row>
    <row r="71" spans="1:10" x14ac:dyDescent="0.2">
      <c r="A71" s="171"/>
      <c r="B71" s="171"/>
      <c r="C71" s="117"/>
      <c r="D71" s="118"/>
      <c r="E71" s="225"/>
      <c r="F71" s="247"/>
      <c r="G71" s="12"/>
    </row>
    <row r="72" spans="1:10" x14ac:dyDescent="0.2">
      <c r="A72" s="333" t="s">
        <v>444</v>
      </c>
      <c r="B72" s="334"/>
      <c r="C72" s="174" t="s">
        <v>6</v>
      </c>
      <c r="D72" s="355" t="s">
        <v>7</v>
      </c>
      <c r="E72" s="235" t="s">
        <v>8</v>
      </c>
      <c r="F72" s="236" t="s">
        <v>9</v>
      </c>
    </row>
    <row r="73" spans="1:10" x14ac:dyDescent="0.2">
      <c r="A73" s="156" t="s">
        <v>47</v>
      </c>
      <c r="B73" s="10" t="s">
        <v>27</v>
      </c>
      <c r="D73" s="353"/>
      <c r="F73" s="234"/>
      <c r="J73" s="27"/>
    </row>
    <row r="74" spans="1:10" x14ac:dyDescent="0.2">
      <c r="A74" s="155" t="s">
        <v>48</v>
      </c>
      <c r="B74" s="54" t="s">
        <v>213</v>
      </c>
      <c r="C74" s="62" t="s">
        <v>22</v>
      </c>
      <c r="D74" s="361">
        <f>34*2+(0.6*2.1)</f>
        <v>69.260000000000005</v>
      </c>
      <c r="E74" s="248">
        <v>0</v>
      </c>
      <c r="F74" s="249">
        <f t="shared" ref="F74:F79" si="3">+D74*E74</f>
        <v>0</v>
      </c>
      <c r="J74" s="27"/>
    </row>
    <row r="75" spans="1:10" ht="25.5" x14ac:dyDescent="0.2">
      <c r="A75" s="155" t="s">
        <v>291</v>
      </c>
      <c r="B75" s="54" t="s">
        <v>224</v>
      </c>
      <c r="C75" s="62" t="s">
        <v>22</v>
      </c>
      <c r="D75" s="361">
        <f>290+330+2.25*4</f>
        <v>629</v>
      </c>
      <c r="E75" s="248">
        <v>0</v>
      </c>
      <c r="F75" s="249">
        <f t="shared" si="3"/>
        <v>0</v>
      </c>
      <c r="J75" s="27"/>
    </row>
    <row r="76" spans="1:10" x14ac:dyDescent="0.2">
      <c r="A76" s="155" t="s">
        <v>292</v>
      </c>
      <c r="B76" s="54" t="s">
        <v>283</v>
      </c>
      <c r="C76" s="62" t="s">
        <v>22</v>
      </c>
      <c r="D76" s="361">
        <v>104</v>
      </c>
      <c r="E76" s="250">
        <v>0</v>
      </c>
      <c r="F76" s="249">
        <f t="shared" si="3"/>
        <v>0</v>
      </c>
      <c r="J76" s="27"/>
    </row>
    <row r="77" spans="1:10" ht="25.5" x14ac:dyDescent="0.2">
      <c r="A77" s="155" t="s">
        <v>297</v>
      </c>
      <c r="B77" s="54" t="s">
        <v>109</v>
      </c>
      <c r="C77" s="62" t="s">
        <v>22</v>
      </c>
      <c r="D77" s="361">
        <f>4*56</f>
        <v>224</v>
      </c>
      <c r="E77" s="250">
        <v>0</v>
      </c>
      <c r="F77" s="249">
        <f t="shared" si="3"/>
        <v>0</v>
      </c>
      <c r="J77" s="27"/>
    </row>
    <row r="78" spans="1:10" x14ac:dyDescent="0.2">
      <c r="A78" s="155" t="s">
        <v>298</v>
      </c>
      <c r="B78" s="56" t="s">
        <v>275</v>
      </c>
      <c r="C78" s="62" t="s">
        <v>22</v>
      </c>
      <c r="D78" s="362">
        <v>230</v>
      </c>
      <c r="E78" s="251">
        <v>0</v>
      </c>
      <c r="F78" s="252">
        <f t="shared" si="3"/>
        <v>0</v>
      </c>
      <c r="J78" s="27"/>
    </row>
    <row r="79" spans="1:10" ht="25.5" x14ac:dyDescent="0.2">
      <c r="A79" s="155" t="s">
        <v>445</v>
      </c>
      <c r="B79" s="54" t="s">
        <v>110</v>
      </c>
      <c r="C79" s="62" t="s">
        <v>31</v>
      </c>
      <c r="D79" s="361">
        <f>56*2+0.21*2</f>
        <v>112.42</v>
      </c>
      <c r="E79" s="250">
        <v>0</v>
      </c>
      <c r="F79" s="249">
        <f t="shared" si="3"/>
        <v>0</v>
      </c>
      <c r="J79" s="27"/>
    </row>
    <row r="80" spans="1:10" x14ac:dyDescent="0.2">
      <c r="A80" s="156"/>
      <c r="C80" s="70"/>
      <c r="D80" s="353"/>
      <c r="F80" s="234"/>
      <c r="J80" s="27"/>
    </row>
    <row r="81" spans="1:10" x14ac:dyDescent="0.2">
      <c r="A81" s="53" t="s">
        <v>80</v>
      </c>
      <c r="B81" s="60" t="s">
        <v>56</v>
      </c>
      <c r="C81" s="59"/>
      <c r="D81" s="352"/>
      <c r="E81" s="229"/>
      <c r="F81" s="229"/>
      <c r="J81" s="27"/>
    </row>
    <row r="82" spans="1:10" ht="28.5" customHeight="1" x14ac:dyDescent="0.2">
      <c r="A82" s="53" t="s">
        <v>82</v>
      </c>
      <c r="B82" s="57" t="s">
        <v>57</v>
      </c>
      <c r="C82" s="62" t="s">
        <v>20</v>
      </c>
      <c r="D82" s="352">
        <f>127.22*0.1</f>
        <v>12.722000000000001</v>
      </c>
      <c r="E82" s="229">
        <v>0</v>
      </c>
      <c r="F82" s="229">
        <f>+D82*E82</f>
        <v>0</v>
      </c>
      <c r="J82" s="27"/>
    </row>
    <row r="83" spans="1:10" ht="35.25" customHeight="1" x14ac:dyDescent="0.2">
      <c r="A83" s="53" t="s">
        <v>83</v>
      </c>
      <c r="B83" s="57" t="s">
        <v>58</v>
      </c>
      <c r="C83" s="62" t="s">
        <v>20</v>
      </c>
      <c r="D83" s="352">
        <f>0.06*58</f>
        <v>3.48</v>
      </c>
      <c r="E83" s="229">
        <v>0</v>
      </c>
      <c r="F83" s="229">
        <f>+D83*E83</f>
        <v>0</v>
      </c>
      <c r="J83" s="27"/>
    </row>
    <row r="84" spans="1:10" ht="25.5" x14ac:dyDescent="0.2">
      <c r="A84" s="53" t="s">
        <v>280</v>
      </c>
      <c r="B84" s="57" t="s">
        <v>214</v>
      </c>
      <c r="C84" s="62" t="s">
        <v>20</v>
      </c>
      <c r="D84" s="352">
        <f>34*2.1</f>
        <v>71.400000000000006</v>
      </c>
      <c r="E84" s="229">
        <v>0</v>
      </c>
      <c r="F84" s="229">
        <f>+D84*E84</f>
        <v>0</v>
      </c>
      <c r="J84" s="27"/>
    </row>
    <row r="85" spans="1:10" ht="25.5" x14ac:dyDescent="0.2">
      <c r="A85" s="53" t="s">
        <v>299</v>
      </c>
      <c r="B85" s="170" t="s">
        <v>215</v>
      </c>
      <c r="C85" s="166" t="s">
        <v>20</v>
      </c>
      <c r="D85" s="363">
        <f>2.5472*55.25</f>
        <v>140.7328</v>
      </c>
      <c r="E85" s="253">
        <v>0</v>
      </c>
      <c r="F85" s="254">
        <f>D85*E85</f>
        <v>0</v>
      </c>
      <c r="J85" s="27"/>
    </row>
    <row r="86" spans="1:10" ht="25.5" x14ac:dyDescent="0.2">
      <c r="A86" s="53" t="s">
        <v>300</v>
      </c>
      <c r="B86" s="138" t="s">
        <v>251</v>
      </c>
      <c r="C86" s="62" t="s">
        <v>22</v>
      </c>
      <c r="D86" s="364">
        <v>190</v>
      </c>
      <c r="E86" s="255">
        <v>0</v>
      </c>
      <c r="F86" s="256">
        <f>D86*E86</f>
        <v>0</v>
      </c>
      <c r="J86" s="27"/>
    </row>
    <row r="87" spans="1:10" x14ac:dyDescent="0.2">
      <c r="A87" s="156"/>
      <c r="C87" s="70"/>
      <c r="F87" s="234"/>
      <c r="J87" s="27"/>
    </row>
    <row r="88" spans="1:10" x14ac:dyDescent="0.2">
      <c r="A88" s="53" t="s">
        <v>84</v>
      </c>
      <c r="B88" s="60" t="s">
        <v>61</v>
      </c>
      <c r="C88" s="62"/>
      <c r="D88" s="352"/>
      <c r="E88" s="229"/>
      <c r="F88" s="229"/>
      <c r="I88" s="90"/>
      <c r="J88" s="27"/>
    </row>
    <row r="89" spans="1:10" ht="25.5" x14ac:dyDescent="0.2">
      <c r="A89" s="53" t="s">
        <v>86</v>
      </c>
      <c r="B89" s="57" t="s">
        <v>63</v>
      </c>
      <c r="C89" s="62" t="s">
        <v>20</v>
      </c>
      <c r="D89" s="352">
        <v>78.599999999999994</v>
      </c>
      <c r="E89" s="229">
        <v>0</v>
      </c>
      <c r="F89" s="229">
        <f>+D89*E89</f>
        <v>0</v>
      </c>
      <c r="J89" s="27"/>
    </row>
    <row r="90" spans="1:10" x14ac:dyDescent="0.2">
      <c r="A90" s="156"/>
      <c r="C90" s="70"/>
      <c r="D90" s="353"/>
      <c r="F90" s="234"/>
      <c r="J90" s="27"/>
    </row>
    <row r="91" spans="1:10" x14ac:dyDescent="0.2">
      <c r="A91" s="53" t="s">
        <v>88</v>
      </c>
      <c r="B91" s="60" t="s">
        <v>326</v>
      </c>
      <c r="C91" s="59"/>
      <c r="D91" s="352"/>
      <c r="E91" s="229"/>
      <c r="F91" s="229"/>
      <c r="J91" s="12"/>
    </row>
    <row r="92" spans="1:10" ht="38.25" x14ac:dyDescent="0.2">
      <c r="A92" s="53" t="s">
        <v>89</v>
      </c>
      <c r="B92" s="57" t="s">
        <v>113</v>
      </c>
      <c r="C92" s="62" t="s">
        <v>67</v>
      </c>
      <c r="D92" s="359">
        <f>1070.61+338.8</f>
        <v>1409.4099999999999</v>
      </c>
      <c r="E92" s="229">
        <v>0</v>
      </c>
      <c r="F92" s="229">
        <f>+D92*E92</f>
        <v>0</v>
      </c>
      <c r="J92" s="12"/>
    </row>
    <row r="93" spans="1:10" ht="38.25" x14ac:dyDescent="0.2">
      <c r="A93" s="53" t="s">
        <v>106</v>
      </c>
      <c r="B93" s="169" t="s">
        <v>206</v>
      </c>
      <c r="C93" s="135" t="s">
        <v>67</v>
      </c>
      <c r="D93" s="365">
        <f>446.47+554.36+843.92+4516.31</f>
        <v>6361.06</v>
      </c>
      <c r="E93" s="240">
        <v>0</v>
      </c>
      <c r="F93" s="240">
        <f>+D93*E93</f>
        <v>0</v>
      </c>
      <c r="J93" s="12"/>
    </row>
    <row r="94" spans="1:10" ht="38.25" x14ac:dyDescent="0.2">
      <c r="A94" s="53" t="s">
        <v>107</v>
      </c>
      <c r="B94" s="57" t="s">
        <v>116</v>
      </c>
      <c r="C94" s="62" t="s">
        <v>67</v>
      </c>
      <c r="D94" s="359">
        <v>2829.91</v>
      </c>
      <c r="E94" s="229">
        <v>0</v>
      </c>
      <c r="F94" s="229">
        <f>+D94*E94</f>
        <v>0</v>
      </c>
      <c r="J94" s="12"/>
    </row>
    <row r="95" spans="1:10" ht="38.25" x14ac:dyDescent="0.2">
      <c r="A95" s="53" t="s">
        <v>226</v>
      </c>
      <c r="B95" s="57" t="s">
        <v>115</v>
      </c>
      <c r="C95" s="62" t="s">
        <v>67</v>
      </c>
      <c r="D95" s="359">
        <v>1644.15</v>
      </c>
      <c r="E95" s="229">
        <v>0</v>
      </c>
      <c r="F95" s="229">
        <f>+D95*E95</f>
        <v>0</v>
      </c>
      <c r="J95" s="12"/>
    </row>
    <row r="96" spans="1:10" x14ac:dyDescent="0.2">
      <c r="A96" s="156"/>
      <c r="C96" s="113"/>
      <c r="D96" s="24"/>
      <c r="F96" s="234"/>
      <c r="J96" s="12"/>
    </row>
    <row r="97" spans="1:10" x14ac:dyDescent="0.2">
      <c r="A97" s="53" t="s">
        <v>287</v>
      </c>
      <c r="B97" s="60" t="s">
        <v>273</v>
      </c>
      <c r="C97" s="62"/>
      <c r="D97" s="352"/>
      <c r="E97" s="229"/>
      <c r="F97" s="229"/>
      <c r="J97" s="27"/>
    </row>
    <row r="98" spans="1:10" ht="51" x14ac:dyDescent="0.2">
      <c r="A98" s="53" t="s">
        <v>288</v>
      </c>
      <c r="B98" s="57" t="s">
        <v>72</v>
      </c>
      <c r="C98" s="62" t="s">
        <v>22</v>
      </c>
      <c r="D98" s="352">
        <f>4.75*56</f>
        <v>266</v>
      </c>
      <c r="E98" s="229">
        <v>0</v>
      </c>
      <c r="F98" s="229">
        <f>+D98*E98</f>
        <v>0</v>
      </c>
      <c r="J98" s="27"/>
    </row>
    <row r="99" spans="1:10" x14ac:dyDescent="0.2">
      <c r="A99" s="53" t="s">
        <v>396</v>
      </c>
      <c r="B99" s="169" t="s">
        <v>112</v>
      </c>
      <c r="C99" s="135" t="s">
        <v>22</v>
      </c>
      <c r="D99" s="357">
        <f>4*2.55</f>
        <v>10.199999999999999</v>
      </c>
      <c r="E99" s="240">
        <v>0</v>
      </c>
      <c r="F99" s="240">
        <f>D99*E99</f>
        <v>0</v>
      </c>
    </row>
    <row r="100" spans="1:10" x14ac:dyDescent="0.2">
      <c r="A100" s="53" t="s">
        <v>397</v>
      </c>
      <c r="B100" s="57" t="s">
        <v>244</v>
      </c>
      <c r="C100" s="62" t="s">
        <v>22</v>
      </c>
      <c r="D100" s="352">
        <f>4*5.85*1</f>
        <v>23.4</v>
      </c>
      <c r="E100" s="229">
        <v>0</v>
      </c>
      <c r="F100" s="229">
        <f>+D100*E100</f>
        <v>0</v>
      </c>
    </row>
    <row r="101" spans="1:10" x14ac:dyDescent="0.2">
      <c r="A101" s="53" t="s">
        <v>398</v>
      </c>
      <c r="B101" s="57" t="s">
        <v>274</v>
      </c>
      <c r="C101" s="62" t="s">
        <v>79</v>
      </c>
      <c r="D101" s="352">
        <f>+(5.85+0.3+5.85)*4</f>
        <v>48</v>
      </c>
      <c r="E101" s="229">
        <v>0</v>
      </c>
      <c r="F101" s="229">
        <f>+D101*E101</f>
        <v>0</v>
      </c>
    </row>
    <row r="102" spans="1:10" x14ac:dyDescent="0.2">
      <c r="A102" s="316" t="s">
        <v>446</v>
      </c>
      <c r="B102" s="317"/>
      <c r="C102" s="129"/>
      <c r="D102" s="366"/>
      <c r="E102" s="257"/>
      <c r="F102" s="258">
        <f>SUM(F74:F101)</f>
        <v>0</v>
      </c>
    </row>
    <row r="103" spans="1:10" x14ac:dyDescent="0.2">
      <c r="A103" s="172"/>
      <c r="B103" s="172"/>
      <c r="C103" s="117"/>
      <c r="D103" s="118"/>
      <c r="E103" s="225"/>
      <c r="F103" s="247"/>
    </row>
    <row r="104" spans="1:10" x14ac:dyDescent="0.2">
      <c r="A104" s="333" t="s">
        <v>451</v>
      </c>
      <c r="B104" s="334"/>
      <c r="C104" s="174" t="s">
        <v>6</v>
      </c>
      <c r="D104" s="355" t="s">
        <v>7</v>
      </c>
      <c r="E104" s="235" t="s">
        <v>8</v>
      </c>
      <c r="F104" s="236" t="s">
        <v>9</v>
      </c>
    </row>
    <row r="105" spans="1:10" x14ac:dyDescent="0.2">
      <c r="A105" s="156" t="s">
        <v>91</v>
      </c>
      <c r="B105" s="10" t="s">
        <v>27</v>
      </c>
      <c r="D105" s="353"/>
      <c r="F105" s="234"/>
    </row>
    <row r="106" spans="1:10" x14ac:dyDescent="0.2">
      <c r="A106" s="155" t="s">
        <v>92</v>
      </c>
      <c r="B106" s="54" t="s">
        <v>213</v>
      </c>
      <c r="C106" s="62" t="s">
        <v>22</v>
      </c>
      <c r="D106" s="361">
        <v>16.7</v>
      </c>
      <c r="E106" s="248">
        <v>0</v>
      </c>
      <c r="F106" s="249">
        <f t="shared" ref="F106:F115" si="4">+D106*E106</f>
        <v>0</v>
      </c>
    </row>
    <row r="107" spans="1:10" x14ac:dyDescent="0.2">
      <c r="A107" s="155" t="s">
        <v>222</v>
      </c>
      <c r="B107" s="54" t="s">
        <v>277</v>
      </c>
      <c r="C107" s="62" t="s">
        <v>22</v>
      </c>
      <c r="D107" s="361">
        <f>65.5-D106</f>
        <v>48.8</v>
      </c>
      <c r="E107" s="248">
        <v>0</v>
      </c>
      <c r="F107" s="249">
        <f t="shared" si="4"/>
        <v>0</v>
      </c>
    </row>
    <row r="108" spans="1:10" x14ac:dyDescent="0.2">
      <c r="A108" s="155" t="s">
        <v>452</v>
      </c>
      <c r="B108" s="54" t="s">
        <v>283</v>
      </c>
      <c r="C108" s="62" t="s">
        <v>22</v>
      </c>
      <c r="D108" s="361">
        <v>76</v>
      </c>
      <c r="E108" s="250">
        <v>0</v>
      </c>
      <c r="F108" s="249">
        <f t="shared" si="4"/>
        <v>0</v>
      </c>
    </row>
    <row r="109" spans="1:10" ht="25.5" x14ac:dyDescent="0.2">
      <c r="A109" s="155" t="s">
        <v>453</v>
      </c>
      <c r="B109" s="54" t="s">
        <v>224</v>
      </c>
      <c r="C109" s="62" t="s">
        <v>22</v>
      </c>
      <c r="D109" s="361">
        <v>117</v>
      </c>
      <c r="E109" s="248">
        <v>0</v>
      </c>
      <c r="F109" s="249">
        <f t="shared" si="4"/>
        <v>0</v>
      </c>
    </row>
    <row r="110" spans="1:10" ht="25.5" x14ac:dyDescent="0.2">
      <c r="A110" s="155" t="s">
        <v>454</v>
      </c>
      <c r="B110" s="54" t="s">
        <v>278</v>
      </c>
      <c r="C110" s="62" t="s">
        <v>22</v>
      </c>
      <c r="D110" s="361">
        <f>530-117</f>
        <v>413</v>
      </c>
      <c r="E110" s="250">
        <v>0</v>
      </c>
      <c r="F110" s="249">
        <f t="shared" si="4"/>
        <v>0</v>
      </c>
    </row>
    <row r="111" spans="1:10" ht="25.5" x14ac:dyDescent="0.2">
      <c r="A111" s="155" t="s">
        <v>455</v>
      </c>
      <c r="B111" s="54" t="s">
        <v>109</v>
      </c>
      <c r="C111" s="62" t="s">
        <v>22</v>
      </c>
      <c r="D111" s="361">
        <v>47</v>
      </c>
      <c r="E111" s="250">
        <v>0</v>
      </c>
      <c r="F111" s="249">
        <f t="shared" si="4"/>
        <v>0</v>
      </c>
    </row>
    <row r="112" spans="1:10" ht="25.5" x14ac:dyDescent="0.2">
      <c r="A112" s="155" t="s">
        <v>456</v>
      </c>
      <c r="B112" s="54" t="s">
        <v>109</v>
      </c>
      <c r="C112" s="62" t="s">
        <v>22</v>
      </c>
      <c r="D112" s="361">
        <f>236-47</f>
        <v>189</v>
      </c>
      <c r="E112" s="250">
        <v>0</v>
      </c>
      <c r="F112" s="249">
        <f t="shared" si="4"/>
        <v>0</v>
      </c>
    </row>
    <row r="113" spans="1:6" ht="25.5" x14ac:dyDescent="0.2">
      <c r="A113" s="155" t="s">
        <v>457</v>
      </c>
      <c r="B113" s="56" t="s">
        <v>337</v>
      </c>
      <c r="C113" s="62" t="s">
        <v>22</v>
      </c>
      <c r="D113" s="362">
        <f>0.24*0.3</f>
        <v>7.1999999999999995E-2</v>
      </c>
      <c r="E113" s="251">
        <v>0</v>
      </c>
      <c r="F113" s="252">
        <f t="shared" si="4"/>
        <v>0</v>
      </c>
    </row>
    <row r="114" spans="1:6" x14ac:dyDescent="0.2">
      <c r="A114" s="155" t="s">
        <v>458</v>
      </c>
      <c r="B114" s="56" t="s">
        <v>275</v>
      </c>
      <c r="C114" s="62" t="s">
        <v>22</v>
      </c>
      <c r="D114" s="362">
        <v>262</v>
      </c>
      <c r="E114" s="251">
        <v>0</v>
      </c>
      <c r="F114" s="252">
        <f t="shared" si="4"/>
        <v>0</v>
      </c>
    </row>
    <row r="115" spans="1:6" ht="25.5" x14ac:dyDescent="0.2">
      <c r="A115" s="155" t="s">
        <v>459</v>
      </c>
      <c r="B115" s="54" t="s">
        <v>110</v>
      </c>
      <c r="C115" s="62" t="s">
        <v>31</v>
      </c>
      <c r="D115" s="361">
        <v>95</v>
      </c>
      <c r="E115" s="250">
        <v>0</v>
      </c>
      <c r="F115" s="249">
        <f t="shared" si="4"/>
        <v>0</v>
      </c>
    </row>
    <row r="116" spans="1:6" x14ac:dyDescent="0.2">
      <c r="A116" s="156"/>
      <c r="C116" s="70"/>
      <c r="D116" s="353"/>
      <c r="F116" s="234"/>
    </row>
    <row r="117" spans="1:6" x14ac:dyDescent="0.2">
      <c r="A117" s="53" t="s">
        <v>93</v>
      </c>
      <c r="B117" s="60" t="s">
        <v>56</v>
      </c>
      <c r="C117" s="59"/>
      <c r="D117" s="352"/>
      <c r="E117" s="229"/>
      <c r="F117" s="229"/>
    </row>
    <row r="118" spans="1:6" ht="25.5" x14ac:dyDescent="0.2">
      <c r="A118" s="53" t="s">
        <v>94</v>
      </c>
      <c r="B118" s="57" t="s">
        <v>57</v>
      </c>
      <c r="C118" s="62" t="s">
        <v>20</v>
      </c>
      <c r="D118" s="352">
        <v>11</v>
      </c>
      <c r="E118" s="229">
        <v>0</v>
      </c>
      <c r="F118" s="229">
        <f>+D118*E118</f>
        <v>0</v>
      </c>
    </row>
    <row r="119" spans="1:6" ht="25.5" x14ac:dyDescent="0.2">
      <c r="A119" s="53" t="s">
        <v>201</v>
      </c>
      <c r="B119" s="57" t="s">
        <v>58</v>
      </c>
      <c r="C119" s="62" t="s">
        <v>20</v>
      </c>
      <c r="D119" s="352">
        <v>2</v>
      </c>
      <c r="E119" s="229">
        <v>0</v>
      </c>
      <c r="F119" s="229">
        <f>+D119*E119</f>
        <v>0</v>
      </c>
    </row>
    <row r="120" spans="1:6" ht="25.5" x14ac:dyDescent="0.2">
      <c r="A120" s="53" t="s">
        <v>202</v>
      </c>
      <c r="B120" s="57" t="s">
        <v>214</v>
      </c>
      <c r="C120" s="62" t="s">
        <v>20</v>
      </c>
      <c r="D120" s="352">
        <v>59.725000000000001</v>
      </c>
      <c r="E120" s="229">
        <v>0</v>
      </c>
      <c r="F120" s="229">
        <f>+D120*E120</f>
        <v>0</v>
      </c>
    </row>
    <row r="121" spans="1:6" ht="25.5" x14ac:dyDescent="0.2">
      <c r="A121" s="53" t="s">
        <v>203</v>
      </c>
      <c r="B121" s="57" t="s">
        <v>215</v>
      </c>
      <c r="C121" s="62" t="s">
        <v>20</v>
      </c>
      <c r="D121" s="352">
        <v>120</v>
      </c>
      <c r="E121" s="229">
        <v>0</v>
      </c>
      <c r="F121" s="229">
        <f>D121*E121</f>
        <v>0</v>
      </c>
    </row>
    <row r="122" spans="1:6" ht="25.5" x14ac:dyDescent="0.2">
      <c r="A122" s="53" t="s">
        <v>460</v>
      </c>
      <c r="B122" s="57" t="s">
        <v>239</v>
      </c>
      <c r="C122" s="62" t="s">
        <v>22</v>
      </c>
      <c r="D122" s="352">
        <v>148.5</v>
      </c>
      <c r="E122" s="229">
        <v>0</v>
      </c>
      <c r="F122" s="229">
        <f>D122*E122</f>
        <v>0</v>
      </c>
    </row>
    <row r="123" spans="1:6" x14ac:dyDescent="0.2">
      <c r="A123" s="156"/>
      <c r="C123" s="70"/>
      <c r="D123" s="353"/>
      <c r="F123" s="234"/>
    </row>
    <row r="124" spans="1:6" x14ac:dyDescent="0.2">
      <c r="A124" s="53" t="s">
        <v>200</v>
      </c>
      <c r="B124" s="60" t="s">
        <v>61</v>
      </c>
      <c r="C124" s="62"/>
      <c r="D124" s="352"/>
      <c r="E124" s="229"/>
      <c r="F124" s="229"/>
    </row>
    <row r="125" spans="1:6" ht="25.5" x14ac:dyDescent="0.2">
      <c r="A125" s="53" t="s">
        <v>204</v>
      </c>
      <c r="B125" s="57" t="s">
        <v>63</v>
      </c>
      <c r="C125" s="62" t="s">
        <v>20</v>
      </c>
      <c r="D125" s="352">
        <f>D111*0.3</f>
        <v>14.1</v>
      </c>
      <c r="E125" s="229">
        <v>0</v>
      </c>
      <c r="F125" s="229">
        <f>+D125*E125</f>
        <v>0</v>
      </c>
    </row>
    <row r="126" spans="1:6" x14ac:dyDescent="0.2">
      <c r="A126" s="156"/>
      <c r="C126" s="70"/>
      <c r="D126" s="353"/>
      <c r="F126" s="234"/>
    </row>
    <row r="127" spans="1:6" x14ac:dyDescent="0.2">
      <c r="A127" s="53" t="s">
        <v>461</v>
      </c>
      <c r="B127" s="60" t="s">
        <v>65</v>
      </c>
      <c r="C127" s="59"/>
      <c r="D127" s="352"/>
      <c r="E127" s="229"/>
      <c r="F127" s="229"/>
    </row>
    <row r="128" spans="1:6" ht="38.25" x14ac:dyDescent="0.2">
      <c r="A128" s="153" t="s">
        <v>462</v>
      </c>
      <c r="B128" s="55" t="s">
        <v>113</v>
      </c>
      <c r="C128" s="135" t="s">
        <v>67</v>
      </c>
      <c r="D128" s="358">
        <v>1077.3800000000001</v>
      </c>
      <c r="E128" s="240">
        <v>0</v>
      </c>
      <c r="F128" s="259">
        <f>+D128*E128</f>
        <v>0</v>
      </c>
    </row>
    <row r="129" spans="1:14" ht="38.25" x14ac:dyDescent="0.2">
      <c r="A129" s="153" t="s">
        <v>463</v>
      </c>
      <c r="B129" s="55" t="s">
        <v>206</v>
      </c>
      <c r="C129" s="62" t="s">
        <v>67</v>
      </c>
      <c r="D129" s="361">
        <v>5433.09</v>
      </c>
      <c r="E129" s="229">
        <v>0</v>
      </c>
      <c r="F129" s="259">
        <f>+D129*E129</f>
        <v>0</v>
      </c>
    </row>
    <row r="130" spans="1:14" ht="38.25" x14ac:dyDescent="0.2">
      <c r="A130" s="153" t="s">
        <v>464</v>
      </c>
      <c r="B130" s="54" t="s">
        <v>116</v>
      </c>
      <c r="C130" s="62" t="s">
        <v>67</v>
      </c>
      <c r="D130" s="361">
        <v>2656.65</v>
      </c>
      <c r="E130" s="229">
        <v>0</v>
      </c>
      <c r="F130" s="249">
        <f>+D130*E130</f>
        <v>0</v>
      </c>
    </row>
    <row r="131" spans="1:14" ht="38.25" x14ac:dyDescent="0.2">
      <c r="A131" s="153" t="s">
        <v>465</v>
      </c>
      <c r="B131" s="54" t="s">
        <v>115</v>
      </c>
      <c r="C131" s="62" t="s">
        <v>67</v>
      </c>
      <c r="D131" s="361">
        <v>2671.74</v>
      </c>
      <c r="E131" s="229">
        <v>0</v>
      </c>
      <c r="F131" s="249">
        <f>+D131*E131</f>
        <v>0</v>
      </c>
    </row>
    <row r="132" spans="1:14" x14ac:dyDescent="0.2">
      <c r="A132" s="156"/>
      <c r="C132" s="113"/>
      <c r="D132" s="353"/>
      <c r="F132" s="234"/>
    </row>
    <row r="133" spans="1:14" x14ac:dyDescent="0.2">
      <c r="A133" s="53" t="s">
        <v>466</v>
      </c>
      <c r="B133" s="60" t="s">
        <v>70</v>
      </c>
      <c r="C133" s="62"/>
      <c r="D133" s="352"/>
      <c r="E133" s="229"/>
      <c r="F133" s="229"/>
      <c r="J133" s="27"/>
    </row>
    <row r="134" spans="1:14" ht="51" x14ac:dyDescent="0.2">
      <c r="A134" s="53" t="s">
        <v>467</v>
      </c>
      <c r="B134" s="57" t="s">
        <v>72</v>
      </c>
      <c r="C134" s="62" t="s">
        <v>22</v>
      </c>
      <c r="D134" s="352">
        <f>+(D106+D109)/2</f>
        <v>66.849999999999994</v>
      </c>
      <c r="E134" s="229">
        <v>0</v>
      </c>
      <c r="F134" s="229">
        <f>+D134*E134</f>
        <v>0</v>
      </c>
      <c r="J134" s="27"/>
    </row>
    <row r="135" spans="1:14" x14ac:dyDescent="0.2">
      <c r="A135" s="53" t="s">
        <v>468</v>
      </c>
      <c r="B135" s="169" t="s">
        <v>112</v>
      </c>
      <c r="C135" s="135" t="s">
        <v>22</v>
      </c>
      <c r="D135" s="357">
        <v>13</v>
      </c>
      <c r="E135" s="240">
        <v>0</v>
      </c>
      <c r="F135" s="240">
        <f>D135*E135</f>
        <v>0</v>
      </c>
      <c r="J135" s="27"/>
    </row>
    <row r="136" spans="1:14" x14ac:dyDescent="0.2">
      <c r="A136" s="53" t="s">
        <v>469</v>
      </c>
      <c r="B136" s="57" t="s">
        <v>244</v>
      </c>
      <c r="C136" s="62" t="s">
        <v>22</v>
      </c>
      <c r="D136" s="352">
        <v>21.5</v>
      </c>
      <c r="E136" s="229">
        <v>0</v>
      </c>
      <c r="F136" s="229">
        <f>+D136*E136</f>
        <v>0</v>
      </c>
      <c r="J136" s="27"/>
    </row>
    <row r="137" spans="1:14" x14ac:dyDescent="0.2">
      <c r="A137" s="53" t="s">
        <v>470</v>
      </c>
      <c r="B137" s="57" t="s">
        <v>274</v>
      </c>
      <c r="C137" s="62" t="s">
        <v>79</v>
      </c>
      <c r="D137" s="352">
        <v>52.2</v>
      </c>
      <c r="E137" s="229">
        <v>0</v>
      </c>
      <c r="F137" s="229">
        <f>+D137*E137</f>
        <v>0</v>
      </c>
      <c r="J137" s="27"/>
      <c r="N137" s="143"/>
    </row>
    <row r="138" spans="1:14" x14ac:dyDescent="0.2">
      <c r="A138" s="316" t="s">
        <v>471</v>
      </c>
      <c r="B138" s="317"/>
      <c r="C138" s="129"/>
      <c r="D138" s="366"/>
      <c r="E138" s="257"/>
      <c r="F138" s="258">
        <f>SUM(F106:F137)</f>
        <v>0</v>
      </c>
      <c r="J138" s="27"/>
    </row>
    <row r="139" spans="1:14" x14ac:dyDescent="0.2">
      <c r="A139" s="172"/>
      <c r="B139" s="172"/>
      <c r="C139" s="117"/>
      <c r="D139" s="118"/>
      <c r="E139" s="225"/>
      <c r="F139" s="247"/>
      <c r="J139" s="38"/>
    </row>
    <row r="140" spans="1:14" x14ac:dyDescent="0.2">
      <c r="A140" s="333" t="s">
        <v>472</v>
      </c>
      <c r="B140" s="334"/>
      <c r="C140" s="174" t="s">
        <v>6</v>
      </c>
      <c r="D140" s="355" t="s">
        <v>7</v>
      </c>
      <c r="E140" s="235" t="s">
        <v>8</v>
      </c>
      <c r="F140" s="236" t="s">
        <v>9</v>
      </c>
      <c r="J140" s="27"/>
    </row>
    <row r="141" spans="1:14" s="48" customFormat="1" x14ac:dyDescent="0.2">
      <c r="A141" s="156" t="s">
        <v>229</v>
      </c>
      <c r="B141" s="10" t="s">
        <v>27</v>
      </c>
      <c r="C141" s="3"/>
      <c r="D141" s="353"/>
      <c r="E141" s="233"/>
      <c r="F141" s="234"/>
      <c r="G141" s="5"/>
      <c r="H141" s="24"/>
      <c r="J141" s="27"/>
    </row>
    <row r="142" spans="1:14" s="48" customFormat="1" x14ac:dyDescent="0.2">
      <c r="A142" s="155" t="s">
        <v>223</v>
      </c>
      <c r="B142" s="54" t="s">
        <v>213</v>
      </c>
      <c r="C142" s="62" t="s">
        <v>22</v>
      </c>
      <c r="D142" s="361">
        <v>21</v>
      </c>
      <c r="E142" s="248">
        <v>0</v>
      </c>
      <c r="F142" s="249">
        <f>+D142*E142</f>
        <v>0</v>
      </c>
      <c r="G142" s="5"/>
      <c r="H142" s="24"/>
      <c r="J142" s="27"/>
    </row>
    <row r="143" spans="1:14" ht="25.5" x14ac:dyDescent="0.2">
      <c r="A143" s="155" t="s">
        <v>473</v>
      </c>
      <c r="B143" s="54" t="s">
        <v>224</v>
      </c>
      <c r="C143" s="62" t="s">
        <v>22</v>
      </c>
      <c r="D143" s="361">
        <v>187</v>
      </c>
      <c r="E143" s="248">
        <v>0</v>
      </c>
      <c r="F143" s="249">
        <f>+D143*E143</f>
        <v>0</v>
      </c>
    </row>
    <row r="144" spans="1:14" ht="25.5" x14ac:dyDescent="0.2">
      <c r="A144" s="155" t="s">
        <v>474</v>
      </c>
      <c r="B144" s="54" t="s">
        <v>109</v>
      </c>
      <c r="C144" s="62" t="s">
        <v>22</v>
      </c>
      <c r="D144" s="361">
        <v>53</v>
      </c>
      <c r="E144" s="250">
        <v>0</v>
      </c>
      <c r="F144" s="249">
        <f>+D144*E144</f>
        <v>0</v>
      </c>
    </row>
    <row r="145" spans="1:14" x14ac:dyDescent="0.2">
      <c r="A145" s="155" t="s">
        <v>475</v>
      </c>
      <c r="B145" s="56" t="s">
        <v>275</v>
      </c>
      <c r="C145" s="62" t="s">
        <v>22</v>
      </c>
      <c r="D145" s="362">
        <v>92</v>
      </c>
      <c r="E145" s="251">
        <v>0</v>
      </c>
      <c r="F145" s="252">
        <f>+D145*E145</f>
        <v>0</v>
      </c>
      <c r="G145" s="12"/>
    </row>
    <row r="146" spans="1:14" ht="25.5" x14ac:dyDescent="0.2">
      <c r="A146" s="155" t="s">
        <v>476</v>
      </c>
      <c r="B146" s="54" t="s">
        <v>248</v>
      </c>
      <c r="C146" s="62" t="s">
        <v>31</v>
      </c>
      <c r="D146" s="361">
        <v>18.2</v>
      </c>
      <c r="E146" s="250">
        <v>0</v>
      </c>
      <c r="F146" s="249">
        <f>+D146*E146</f>
        <v>0</v>
      </c>
      <c r="G146" s="71"/>
    </row>
    <row r="147" spans="1:14" x14ac:dyDescent="0.2">
      <c r="A147" s="156"/>
      <c r="C147" s="70"/>
      <c r="D147" s="353"/>
      <c r="F147" s="234"/>
      <c r="G147" s="71"/>
    </row>
    <row r="148" spans="1:14" x14ac:dyDescent="0.2">
      <c r="A148" s="53" t="s">
        <v>219</v>
      </c>
      <c r="B148" s="60" t="s">
        <v>56</v>
      </c>
      <c r="C148" s="59"/>
      <c r="D148" s="352"/>
      <c r="E148" s="229"/>
      <c r="F148" s="229"/>
      <c r="G148" s="71"/>
      <c r="K148" s="38"/>
      <c r="M148" s="24"/>
      <c r="N148" s="24"/>
    </row>
    <row r="149" spans="1:14" ht="25.5" x14ac:dyDescent="0.2">
      <c r="A149" s="53" t="s">
        <v>147</v>
      </c>
      <c r="B149" s="57" t="s">
        <v>57</v>
      </c>
      <c r="C149" s="62" t="s">
        <v>20</v>
      </c>
      <c r="D149" s="352">
        <v>3.5</v>
      </c>
      <c r="E149" s="229">
        <v>0</v>
      </c>
      <c r="F149" s="229">
        <f>+D149*E149</f>
        <v>0</v>
      </c>
      <c r="G149" s="71"/>
      <c r="K149" s="38"/>
    </row>
    <row r="150" spans="1:14" ht="26.25" customHeight="1" x14ac:dyDescent="0.2">
      <c r="A150" s="53" t="s">
        <v>148</v>
      </c>
      <c r="B150" s="55" t="s">
        <v>58</v>
      </c>
      <c r="C150" s="135" t="s">
        <v>20</v>
      </c>
      <c r="D150" s="358">
        <v>0.5</v>
      </c>
      <c r="E150" s="260">
        <v>0</v>
      </c>
      <c r="F150" s="259">
        <f>+D150*E150</f>
        <v>0</v>
      </c>
      <c r="K150" s="27"/>
    </row>
    <row r="151" spans="1:14" ht="25.5" x14ac:dyDescent="0.2">
      <c r="A151" s="53" t="s">
        <v>477</v>
      </c>
      <c r="B151" s="54" t="s">
        <v>214</v>
      </c>
      <c r="C151" s="62" t="s">
        <v>20</v>
      </c>
      <c r="D151" s="361">
        <v>12.6</v>
      </c>
      <c r="E151" s="248">
        <v>0</v>
      </c>
      <c r="F151" s="249">
        <f>+D151*E151</f>
        <v>0</v>
      </c>
      <c r="G151" s="71"/>
      <c r="K151" s="38"/>
    </row>
    <row r="152" spans="1:14" ht="25.5" x14ac:dyDescent="0.2">
      <c r="A152" s="53" t="s">
        <v>478</v>
      </c>
      <c r="B152" s="56" t="s">
        <v>215</v>
      </c>
      <c r="C152" s="113" t="s">
        <v>20</v>
      </c>
      <c r="D152" s="362">
        <v>27</v>
      </c>
      <c r="E152" s="251">
        <v>0</v>
      </c>
      <c r="F152" s="252">
        <f>D152*E152</f>
        <v>0</v>
      </c>
      <c r="G152" s="71"/>
      <c r="K152" s="38"/>
    </row>
    <row r="153" spans="1:14" ht="25.5" x14ac:dyDescent="0.2">
      <c r="A153" s="53" t="s">
        <v>479</v>
      </c>
      <c r="B153" s="138" t="s">
        <v>239</v>
      </c>
      <c r="C153" s="62" t="s">
        <v>22</v>
      </c>
      <c r="D153" s="367">
        <v>80</v>
      </c>
      <c r="E153" s="255">
        <v>0</v>
      </c>
      <c r="F153" s="256">
        <f>D153*E153</f>
        <v>0</v>
      </c>
      <c r="G153" s="71"/>
      <c r="K153" s="38"/>
    </row>
    <row r="154" spans="1:14" x14ac:dyDescent="0.2">
      <c r="A154" s="156"/>
      <c r="C154" s="70"/>
      <c r="D154" s="353"/>
      <c r="F154" s="234"/>
      <c r="G154" s="71"/>
      <c r="K154" s="38"/>
    </row>
    <row r="155" spans="1:14" x14ac:dyDescent="0.2">
      <c r="A155" s="53" t="s">
        <v>230</v>
      </c>
      <c r="B155" s="60" t="s">
        <v>61</v>
      </c>
      <c r="C155" s="62"/>
      <c r="D155" s="352"/>
      <c r="E155" s="229"/>
      <c r="F155" s="229"/>
      <c r="G155" s="71"/>
      <c r="K155" s="38"/>
    </row>
    <row r="156" spans="1:14" ht="25.5" x14ac:dyDescent="0.2">
      <c r="A156" s="53" t="s">
        <v>231</v>
      </c>
      <c r="B156" s="57" t="s">
        <v>63</v>
      </c>
      <c r="C156" s="62" t="s">
        <v>20</v>
      </c>
      <c r="D156" s="352">
        <v>16</v>
      </c>
      <c r="E156" s="229">
        <v>0</v>
      </c>
      <c r="F156" s="229">
        <f>+D156*E156</f>
        <v>0</v>
      </c>
      <c r="G156" s="71"/>
      <c r="K156" s="38"/>
    </row>
    <row r="157" spans="1:14" x14ac:dyDescent="0.2">
      <c r="A157" s="156"/>
      <c r="C157" s="70"/>
      <c r="D157" s="353"/>
      <c r="F157" s="234"/>
      <c r="G157" s="71"/>
      <c r="K157" s="38"/>
    </row>
    <row r="158" spans="1:14" x14ac:dyDescent="0.2">
      <c r="A158" s="53" t="s">
        <v>371</v>
      </c>
      <c r="B158" s="60" t="s">
        <v>65</v>
      </c>
      <c r="C158" s="59"/>
      <c r="D158" s="352"/>
      <c r="E158" s="229"/>
      <c r="F158" s="229"/>
      <c r="G158" s="71"/>
      <c r="K158" s="38"/>
    </row>
    <row r="159" spans="1:14" ht="38.25" x14ac:dyDescent="0.2">
      <c r="A159" s="53" t="s">
        <v>372</v>
      </c>
      <c r="B159" s="57" t="s">
        <v>206</v>
      </c>
      <c r="C159" s="62" t="s">
        <v>67</v>
      </c>
      <c r="D159" s="352">
        <f>59.27+198.27+256.24+1532.07</f>
        <v>2045.85</v>
      </c>
      <c r="E159" s="229">
        <v>0</v>
      </c>
      <c r="F159" s="229">
        <f>+D159*E159</f>
        <v>0</v>
      </c>
      <c r="G159" s="71"/>
      <c r="K159" s="38"/>
    </row>
    <row r="160" spans="1:14" ht="38.25" x14ac:dyDescent="0.2">
      <c r="A160" s="53" t="s">
        <v>373</v>
      </c>
      <c r="B160" s="169" t="s">
        <v>113</v>
      </c>
      <c r="C160" s="135" t="s">
        <v>67</v>
      </c>
      <c r="D160" s="368">
        <f>524.66+92.4</f>
        <v>617.05999999999995</v>
      </c>
      <c r="E160" s="240">
        <v>0</v>
      </c>
      <c r="F160" s="240">
        <f>+D160*E160</f>
        <v>0</v>
      </c>
      <c r="G160" s="71"/>
      <c r="K160" s="38"/>
    </row>
    <row r="161" spans="1:13" ht="38.25" x14ac:dyDescent="0.2">
      <c r="A161" s="53" t="s">
        <v>374</v>
      </c>
      <c r="B161" s="57" t="s">
        <v>116</v>
      </c>
      <c r="C161" s="62" t="s">
        <v>67</v>
      </c>
      <c r="D161" s="352">
        <v>1097.31</v>
      </c>
      <c r="E161" s="229">
        <v>0</v>
      </c>
      <c r="F161" s="229">
        <f>+D161*E161</f>
        <v>0</v>
      </c>
      <c r="G161" s="71"/>
      <c r="K161" s="144"/>
    </row>
    <row r="162" spans="1:13" ht="38.25" x14ac:dyDescent="0.2">
      <c r="A162" s="53" t="s">
        <v>375</v>
      </c>
      <c r="B162" s="57" t="s">
        <v>115</v>
      </c>
      <c r="C162" s="62" t="s">
        <v>67</v>
      </c>
      <c r="D162" s="352">
        <v>616.55999999999995</v>
      </c>
      <c r="E162" s="229">
        <v>0</v>
      </c>
      <c r="F162" s="229">
        <f>+D162*E162</f>
        <v>0</v>
      </c>
    </row>
    <row r="163" spans="1:13" x14ac:dyDescent="0.2">
      <c r="A163" s="185"/>
      <c r="C163" s="166"/>
      <c r="D163" s="353"/>
      <c r="F163" s="234"/>
    </row>
    <row r="164" spans="1:13" x14ac:dyDescent="0.2">
      <c r="A164" s="53" t="s">
        <v>481</v>
      </c>
      <c r="B164" s="60" t="s">
        <v>273</v>
      </c>
      <c r="C164" s="62"/>
      <c r="D164" s="352"/>
      <c r="E164" s="229"/>
      <c r="F164" s="229"/>
    </row>
    <row r="165" spans="1:13" ht="51" x14ac:dyDescent="0.2">
      <c r="A165" s="53" t="s">
        <v>482</v>
      </c>
      <c r="B165" s="57" t="s">
        <v>72</v>
      </c>
      <c r="C165" s="62" t="s">
        <v>22</v>
      </c>
      <c r="D165" s="352">
        <f>+(D142+D143)/2</f>
        <v>104</v>
      </c>
      <c r="E165" s="229">
        <v>0</v>
      </c>
      <c r="F165" s="229">
        <f>+D165*E165</f>
        <v>0</v>
      </c>
    </row>
    <row r="166" spans="1:13" x14ac:dyDescent="0.2">
      <c r="A166" s="53" t="s">
        <v>483</v>
      </c>
      <c r="B166" s="57" t="s">
        <v>112</v>
      </c>
      <c r="C166" s="62" t="s">
        <v>22</v>
      </c>
      <c r="D166" s="352">
        <v>1.8</v>
      </c>
      <c r="E166" s="229">
        <v>0</v>
      </c>
      <c r="F166" s="229">
        <f>D166*E166</f>
        <v>0</v>
      </c>
    </row>
    <row r="167" spans="1:13" x14ac:dyDescent="0.2">
      <c r="A167" s="53" t="s">
        <v>484</v>
      </c>
      <c r="B167" s="55" t="s">
        <v>244</v>
      </c>
      <c r="C167" s="135" t="s">
        <v>22</v>
      </c>
      <c r="D167" s="358">
        <v>4.25</v>
      </c>
      <c r="E167" s="253">
        <v>0</v>
      </c>
      <c r="F167" s="254">
        <f>+D167*E167</f>
        <v>0</v>
      </c>
    </row>
    <row r="168" spans="1:13" s="24" customFormat="1" x14ac:dyDescent="0.2">
      <c r="A168" s="53" t="s">
        <v>485</v>
      </c>
      <c r="B168" s="112" t="s">
        <v>274</v>
      </c>
      <c r="C168" s="113" t="s">
        <v>79</v>
      </c>
      <c r="D168" s="356">
        <v>8.5</v>
      </c>
      <c r="E168" s="229">
        <v>0</v>
      </c>
      <c r="F168" s="252">
        <f>+D168*E168</f>
        <v>0</v>
      </c>
      <c r="G168" s="3"/>
      <c r="I168" s="3"/>
      <c r="J168" s="3"/>
      <c r="K168" s="3"/>
      <c r="L168" s="3"/>
      <c r="M168" s="3"/>
    </row>
    <row r="169" spans="1:13" s="24" customFormat="1" x14ac:dyDescent="0.2">
      <c r="A169" s="316" t="s">
        <v>480</v>
      </c>
      <c r="B169" s="317"/>
      <c r="C169" s="129"/>
      <c r="D169" s="366"/>
      <c r="E169" s="257"/>
      <c r="F169" s="258">
        <f>SUM(F142:F168)</f>
        <v>0</v>
      </c>
      <c r="G169" s="5"/>
      <c r="I169" s="3"/>
      <c r="J169" s="3"/>
      <c r="K169" s="3"/>
      <c r="L169" s="3"/>
      <c r="M169" s="3"/>
    </row>
    <row r="170" spans="1:13" s="24" customFormat="1" x14ac:dyDescent="0.2">
      <c r="A170" s="171"/>
      <c r="B170" s="171"/>
      <c r="C170" s="117"/>
      <c r="D170" s="118"/>
      <c r="E170" s="225"/>
      <c r="F170" s="247"/>
      <c r="G170" s="5"/>
      <c r="I170" s="3"/>
      <c r="J170" s="3"/>
      <c r="K170" s="3"/>
      <c r="L170" s="3"/>
      <c r="M170" s="3"/>
    </row>
    <row r="171" spans="1:13" s="24" customFormat="1" x14ac:dyDescent="0.2">
      <c r="A171" s="158" t="s">
        <v>486</v>
      </c>
      <c r="B171" s="159"/>
      <c r="C171" s="174" t="s">
        <v>6</v>
      </c>
      <c r="D171" s="355" t="s">
        <v>7</v>
      </c>
      <c r="E171" s="235" t="s">
        <v>8</v>
      </c>
      <c r="F171" s="236" t="s">
        <v>9</v>
      </c>
      <c r="G171" s="5"/>
      <c r="I171" s="3"/>
      <c r="J171" s="3"/>
      <c r="K171" s="3"/>
      <c r="L171" s="3"/>
      <c r="M171" s="3"/>
    </row>
    <row r="172" spans="1:13" s="24" customFormat="1" x14ac:dyDescent="0.2">
      <c r="A172" s="156" t="s">
        <v>289</v>
      </c>
      <c r="B172" s="10" t="s">
        <v>27</v>
      </c>
      <c r="C172" s="3"/>
      <c r="D172" s="353"/>
      <c r="E172" s="233"/>
      <c r="F172" s="234"/>
      <c r="G172" s="5"/>
      <c r="I172" s="3"/>
      <c r="J172" s="3"/>
      <c r="K172" s="3"/>
      <c r="L172" s="3"/>
      <c r="M172" s="3"/>
    </row>
    <row r="173" spans="1:13" s="24" customFormat="1" ht="25.5" x14ac:dyDescent="0.2">
      <c r="A173" s="155" t="s">
        <v>95</v>
      </c>
      <c r="B173" s="54" t="s">
        <v>117</v>
      </c>
      <c r="C173" s="62" t="s">
        <v>22</v>
      </c>
      <c r="D173" s="361">
        <v>41</v>
      </c>
      <c r="E173" s="250">
        <v>0</v>
      </c>
      <c r="F173" s="249">
        <f>+D173*E173</f>
        <v>0</v>
      </c>
      <c r="G173" s="5"/>
      <c r="I173" s="3"/>
      <c r="J173" s="3"/>
      <c r="K173" s="3"/>
      <c r="L173" s="3"/>
      <c r="M173" s="3"/>
    </row>
    <row r="174" spans="1:13" s="24" customFormat="1" ht="25.5" x14ac:dyDescent="0.2">
      <c r="A174" s="155" t="s">
        <v>376</v>
      </c>
      <c r="B174" s="54" t="s">
        <v>276</v>
      </c>
      <c r="C174" s="62" t="s">
        <v>22</v>
      </c>
      <c r="D174" s="361">
        <v>55.1</v>
      </c>
      <c r="E174" s="250">
        <v>0</v>
      </c>
      <c r="F174" s="249">
        <f>+D174*E174</f>
        <v>0</v>
      </c>
      <c r="G174" s="5"/>
      <c r="I174" s="3"/>
      <c r="J174" s="3"/>
      <c r="K174" s="3"/>
      <c r="L174" s="3"/>
      <c r="M174" s="3"/>
    </row>
    <row r="175" spans="1:13" s="24" customFormat="1" x14ac:dyDescent="0.2">
      <c r="A175" s="156"/>
      <c r="B175" s="2"/>
      <c r="C175" s="113"/>
      <c r="D175" s="353"/>
      <c r="E175" s="233"/>
      <c r="F175" s="234"/>
      <c r="G175" s="5"/>
      <c r="I175" s="3"/>
      <c r="J175" s="3"/>
      <c r="K175" s="3"/>
      <c r="L175" s="3"/>
      <c r="M175" s="3"/>
    </row>
    <row r="176" spans="1:13" s="24" customFormat="1" x14ac:dyDescent="0.2">
      <c r="A176" s="53" t="s">
        <v>293</v>
      </c>
      <c r="B176" s="60" t="s">
        <v>56</v>
      </c>
      <c r="C176" s="62"/>
      <c r="D176" s="352"/>
      <c r="E176" s="229"/>
      <c r="F176" s="229"/>
      <c r="G176" s="5"/>
      <c r="I176" s="3"/>
      <c r="J176" s="3"/>
      <c r="K176" s="3"/>
      <c r="L176" s="3"/>
      <c r="M176" s="3"/>
    </row>
    <row r="177" spans="1:13" s="24" customFormat="1" ht="25.5" x14ac:dyDescent="0.2">
      <c r="A177" s="153" t="s">
        <v>207</v>
      </c>
      <c r="B177" s="170" t="s">
        <v>216</v>
      </c>
      <c r="C177" s="135" t="s">
        <v>20</v>
      </c>
      <c r="D177" s="363">
        <v>4</v>
      </c>
      <c r="E177" s="253">
        <v>0</v>
      </c>
      <c r="F177" s="254">
        <f>+D177*E177</f>
        <v>0</v>
      </c>
      <c r="G177" s="5"/>
      <c r="I177" s="3"/>
      <c r="J177" s="3"/>
      <c r="K177" s="3"/>
      <c r="L177" s="3"/>
      <c r="M177" s="3"/>
    </row>
    <row r="178" spans="1:13" s="24" customFormat="1" ht="25.5" x14ac:dyDescent="0.2">
      <c r="A178" s="153" t="s">
        <v>208</v>
      </c>
      <c r="B178" s="54" t="s">
        <v>217</v>
      </c>
      <c r="C178" s="62" t="s">
        <v>20</v>
      </c>
      <c r="D178" s="361">
        <v>15</v>
      </c>
      <c r="E178" s="250">
        <v>0</v>
      </c>
      <c r="F178" s="249">
        <f>+D178*E178</f>
        <v>0</v>
      </c>
      <c r="G178" s="5"/>
      <c r="I178" s="3"/>
      <c r="J178" s="3"/>
      <c r="K178" s="3"/>
      <c r="L178" s="3"/>
      <c r="M178" s="3"/>
    </row>
    <row r="179" spans="1:13" s="24" customFormat="1" ht="25.5" x14ac:dyDescent="0.2">
      <c r="A179" s="153" t="s">
        <v>487</v>
      </c>
      <c r="B179" s="2" t="s">
        <v>225</v>
      </c>
      <c r="C179" s="62" t="s">
        <v>20</v>
      </c>
      <c r="D179" s="353">
        <v>3</v>
      </c>
      <c r="E179" s="250">
        <v>0</v>
      </c>
      <c r="F179" s="249">
        <f>+D179*E179</f>
        <v>0</v>
      </c>
      <c r="G179" s="5"/>
      <c r="I179" s="3"/>
      <c r="J179" s="3"/>
      <c r="K179" s="3"/>
      <c r="L179" s="3"/>
      <c r="M179" s="3"/>
    </row>
    <row r="180" spans="1:13" s="24" customFormat="1" ht="25.5" x14ac:dyDescent="0.2">
      <c r="A180" s="153" t="s">
        <v>488</v>
      </c>
      <c r="B180" s="57" t="s">
        <v>135</v>
      </c>
      <c r="C180" s="62" t="s">
        <v>13</v>
      </c>
      <c r="D180" s="352">
        <v>48</v>
      </c>
      <c r="E180" s="229">
        <v>0</v>
      </c>
      <c r="F180" s="229">
        <f>D180*E180</f>
        <v>0</v>
      </c>
      <c r="G180" s="5"/>
      <c r="I180" s="3"/>
      <c r="J180" s="3"/>
      <c r="K180" s="3"/>
    </row>
    <row r="181" spans="1:13" s="24" customFormat="1" x14ac:dyDescent="0.2">
      <c r="A181" s="156"/>
      <c r="B181" s="2"/>
      <c r="C181" s="113"/>
      <c r="D181" s="353"/>
      <c r="E181" s="233"/>
      <c r="F181" s="234"/>
      <c r="G181" s="5"/>
      <c r="I181" s="3"/>
      <c r="J181" s="3"/>
      <c r="K181" s="3"/>
    </row>
    <row r="182" spans="1:13" s="24" customFormat="1" x14ac:dyDescent="0.2">
      <c r="A182" s="53" t="s">
        <v>294</v>
      </c>
      <c r="B182" s="60" t="s">
        <v>65</v>
      </c>
      <c r="C182" s="62"/>
      <c r="D182" s="352"/>
      <c r="E182" s="229"/>
      <c r="F182" s="229"/>
      <c r="G182" s="5"/>
      <c r="I182" s="3"/>
      <c r="J182" s="3"/>
      <c r="K182" s="3"/>
      <c r="L182" s="3"/>
      <c r="M182" s="3"/>
    </row>
    <row r="183" spans="1:13" s="24" customFormat="1" ht="25.5" x14ac:dyDescent="0.2">
      <c r="A183" s="53" t="s">
        <v>295</v>
      </c>
      <c r="B183" s="57" t="s">
        <v>245</v>
      </c>
      <c r="C183" s="62" t="s">
        <v>67</v>
      </c>
      <c r="D183" s="352">
        <v>312.60000000000002</v>
      </c>
      <c r="E183" s="229">
        <v>0</v>
      </c>
      <c r="F183" s="229">
        <f>+D183*E183</f>
        <v>0</v>
      </c>
      <c r="G183" s="5"/>
      <c r="I183" s="3"/>
      <c r="J183" s="3"/>
      <c r="K183" s="3"/>
      <c r="L183" s="3"/>
      <c r="M183" s="3"/>
    </row>
    <row r="184" spans="1:13" s="24" customFormat="1" ht="38.25" x14ac:dyDescent="0.2">
      <c r="A184" s="177" t="s">
        <v>489</v>
      </c>
      <c r="B184" s="170" t="s">
        <v>218</v>
      </c>
      <c r="C184" s="166" t="s">
        <v>67</v>
      </c>
      <c r="D184" s="363">
        <v>1294.23</v>
      </c>
      <c r="E184" s="261">
        <v>0</v>
      </c>
      <c r="F184" s="254">
        <f>+D184*E184</f>
        <v>0</v>
      </c>
      <c r="G184" s="5"/>
      <c r="I184" s="3"/>
      <c r="J184" s="3"/>
      <c r="K184" s="3"/>
      <c r="L184" s="3"/>
      <c r="M184" s="3"/>
    </row>
    <row r="185" spans="1:13" s="24" customFormat="1" x14ac:dyDescent="0.2">
      <c r="A185" s="316" t="s">
        <v>490</v>
      </c>
      <c r="B185" s="317"/>
      <c r="C185" s="129"/>
      <c r="D185" s="366"/>
      <c r="E185" s="257"/>
      <c r="F185" s="258">
        <f>SUM(F173:F184)</f>
        <v>0</v>
      </c>
      <c r="G185" s="5"/>
      <c r="I185" s="3"/>
      <c r="J185" s="3"/>
      <c r="K185" s="3"/>
      <c r="L185" s="3"/>
      <c r="M185" s="3"/>
    </row>
    <row r="186" spans="1:13" s="24" customFormat="1" x14ac:dyDescent="0.2">
      <c r="A186" s="171"/>
      <c r="B186" s="171"/>
      <c r="C186" s="117"/>
      <c r="D186" s="118"/>
      <c r="E186" s="225"/>
      <c r="F186" s="247"/>
      <c r="G186" s="5"/>
      <c r="I186" s="3"/>
      <c r="J186" s="3"/>
      <c r="K186" s="3"/>
      <c r="L186" s="3"/>
      <c r="M186" s="3"/>
    </row>
    <row r="187" spans="1:13" s="24" customFormat="1" x14ac:dyDescent="0.2">
      <c r="A187" s="133" t="s">
        <v>491</v>
      </c>
      <c r="B187" s="139"/>
      <c r="C187" s="173"/>
      <c r="D187" s="369"/>
      <c r="E187" s="262"/>
      <c r="F187" s="243"/>
      <c r="G187" s="5"/>
      <c r="I187" s="3"/>
      <c r="J187" s="3"/>
      <c r="K187" s="3"/>
      <c r="L187" s="3"/>
      <c r="M187" s="3"/>
    </row>
    <row r="188" spans="1:13" s="24" customFormat="1" x14ac:dyDescent="0.2">
      <c r="A188" s="156" t="s">
        <v>290</v>
      </c>
      <c r="B188" s="10" t="s">
        <v>78</v>
      </c>
      <c r="C188" s="70" t="s">
        <v>6</v>
      </c>
      <c r="D188" s="353" t="s">
        <v>7</v>
      </c>
      <c r="E188" s="233" t="s">
        <v>8</v>
      </c>
      <c r="F188" s="234" t="s">
        <v>9</v>
      </c>
      <c r="G188" s="5"/>
      <c r="I188" s="3"/>
      <c r="J188" s="3"/>
      <c r="K188" s="3"/>
      <c r="L188" s="3"/>
      <c r="M188" s="3"/>
    </row>
    <row r="189" spans="1:13" s="24" customFormat="1" ht="38.25" x14ac:dyDescent="0.2">
      <c r="A189" s="53" t="s">
        <v>153</v>
      </c>
      <c r="B189" s="57" t="s">
        <v>127</v>
      </c>
      <c r="C189" s="62" t="s">
        <v>79</v>
      </c>
      <c r="D189" s="367">
        <v>152</v>
      </c>
      <c r="E189" s="229">
        <v>0</v>
      </c>
      <c r="F189" s="229">
        <f>+D189*E189</f>
        <v>0</v>
      </c>
      <c r="G189" s="5"/>
      <c r="I189" s="3"/>
      <c r="J189" s="3"/>
      <c r="K189" s="3"/>
      <c r="L189" s="3"/>
      <c r="M189" s="3"/>
    </row>
    <row r="190" spans="1:13" s="24" customFormat="1" x14ac:dyDescent="0.2">
      <c r="A190" s="156"/>
      <c r="B190" s="2"/>
      <c r="C190" s="70"/>
      <c r="D190" s="353"/>
      <c r="E190" s="233"/>
      <c r="F190" s="234"/>
      <c r="G190" s="5"/>
      <c r="I190" s="3"/>
      <c r="J190" s="3"/>
      <c r="K190" s="3"/>
      <c r="L190" s="3"/>
      <c r="M190" s="3"/>
    </row>
    <row r="191" spans="1:13" s="24" customFormat="1" x14ac:dyDescent="0.2">
      <c r="A191" s="53" t="s">
        <v>301</v>
      </c>
      <c r="B191" s="60" t="s">
        <v>81</v>
      </c>
      <c r="C191" s="62"/>
      <c r="D191" s="352"/>
      <c r="E191" s="229"/>
      <c r="F191" s="229"/>
      <c r="G191" s="5"/>
      <c r="I191" s="3"/>
      <c r="J191" s="38"/>
      <c r="K191" s="3"/>
      <c r="L191" s="3"/>
      <c r="M191" s="3"/>
    </row>
    <row r="192" spans="1:13" s="24" customFormat="1" ht="25.5" x14ac:dyDescent="0.2">
      <c r="A192" s="53" t="s">
        <v>258</v>
      </c>
      <c r="B192" s="57" t="s">
        <v>266</v>
      </c>
      <c r="C192" s="62" t="s">
        <v>22</v>
      </c>
      <c r="D192" s="352">
        <v>29</v>
      </c>
      <c r="E192" s="229">
        <v>0</v>
      </c>
      <c r="F192" s="229">
        <f>+E192*D192</f>
        <v>0</v>
      </c>
      <c r="G192" s="5"/>
      <c r="I192" s="3"/>
      <c r="J192" s="38"/>
      <c r="K192" s="3"/>
      <c r="L192" s="3"/>
      <c r="M192" s="3"/>
    </row>
    <row r="193" spans="1:13" s="24" customFormat="1" ht="25.5" x14ac:dyDescent="0.2">
      <c r="A193" s="53" t="s">
        <v>259</v>
      </c>
      <c r="B193" s="138" t="s">
        <v>118</v>
      </c>
      <c r="C193" s="62" t="s">
        <v>22</v>
      </c>
      <c r="D193" s="367">
        <v>83</v>
      </c>
      <c r="E193" s="255">
        <v>0</v>
      </c>
      <c r="F193" s="229">
        <f>+D193*E193</f>
        <v>0</v>
      </c>
      <c r="G193" s="5"/>
      <c r="I193" s="3"/>
      <c r="J193" s="38"/>
      <c r="K193" s="3"/>
      <c r="L193" s="3"/>
      <c r="M193" s="3"/>
    </row>
    <row r="194" spans="1:13" s="24" customFormat="1" x14ac:dyDescent="0.2">
      <c r="A194" s="156"/>
      <c r="B194" s="2"/>
      <c r="C194" s="70"/>
      <c r="D194" s="353"/>
      <c r="E194" s="233"/>
      <c r="F194" s="234"/>
      <c r="G194" s="5"/>
      <c r="I194" s="3"/>
      <c r="J194" s="38"/>
      <c r="K194" s="3"/>
      <c r="L194" s="3"/>
      <c r="M194" s="3"/>
    </row>
    <row r="195" spans="1:13" s="24" customFormat="1" x14ac:dyDescent="0.2">
      <c r="A195" s="53" t="s">
        <v>302</v>
      </c>
      <c r="B195" s="60" t="s">
        <v>128</v>
      </c>
      <c r="C195" s="62"/>
      <c r="D195" s="352"/>
      <c r="E195" s="229"/>
      <c r="F195" s="229"/>
      <c r="G195" s="5"/>
      <c r="I195" s="3"/>
      <c r="J195" s="38"/>
      <c r="K195" s="3"/>
      <c r="L195" s="3"/>
      <c r="M195" s="3"/>
    </row>
    <row r="196" spans="1:13" s="24" customFormat="1" ht="25.5" x14ac:dyDescent="0.2">
      <c r="A196" s="53" t="s">
        <v>281</v>
      </c>
      <c r="B196" s="57" t="s">
        <v>104</v>
      </c>
      <c r="C196" s="62" t="s">
        <v>79</v>
      </c>
      <c r="D196" s="352">
        <v>103</v>
      </c>
      <c r="E196" s="229">
        <v>0</v>
      </c>
      <c r="F196" s="229">
        <f>+D196*E196</f>
        <v>0</v>
      </c>
      <c r="G196" s="5"/>
      <c r="I196" s="3"/>
      <c r="J196" s="38"/>
      <c r="K196" s="3"/>
      <c r="L196" s="3"/>
      <c r="M196" s="3"/>
    </row>
    <row r="197" spans="1:13" s="24" customFormat="1" x14ac:dyDescent="0.2">
      <c r="A197" s="156"/>
      <c r="B197" s="2"/>
      <c r="C197" s="70"/>
      <c r="D197" s="353"/>
      <c r="E197" s="233"/>
      <c r="F197" s="234"/>
      <c r="G197" s="5"/>
      <c r="I197" s="3"/>
      <c r="J197" s="38"/>
      <c r="K197" s="3"/>
      <c r="L197" s="3"/>
      <c r="M197" s="3"/>
    </row>
    <row r="198" spans="1:13" s="24" customFormat="1" x14ac:dyDescent="0.2">
      <c r="A198" s="53" t="s">
        <v>303</v>
      </c>
      <c r="B198" s="60" t="s">
        <v>85</v>
      </c>
      <c r="C198" s="62"/>
      <c r="D198" s="352"/>
      <c r="E198" s="229"/>
      <c r="F198" s="229"/>
      <c r="G198" s="5"/>
      <c r="I198" s="3"/>
      <c r="J198" s="38"/>
      <c r="K198" s="3"/>
      <c r="L198" s="3"/>
      <c r="M198" s="3"/>
    </row>
    <row r="199" spans="1:13" s="24" customFormat="1" x14ac:dyDescent="0.2">
      <c r="A199" s="53" t="s">
        <v>261</v>
      </c>
      <c r="B199" s="57" t="s">
        <v>131</v>
      </c>
      <c r="C199" s="62" t="s">
        <v>22</v>
      </c>
      <c r="D199" s="352">
        <v>72</v>
      </c>
      <c r="E199" s="229">
        <v>0</v>
      </c>
      <c r="F199" s="229">
        <f>+D199*E199</f>
        <v>0</v>
      </c>
      <c r="G199" s="5"/>
      <c r="I199" s="3"/>
      <c r="J199" s="38"/>
      <c r="K199" s="3"/>
      <c r="L199" s="3"/>
      <c r="M199" s="3"/>
    </row>
    <row r="200" spans="1:13" s="24" customFormat="1" x14ac:dyDescent="0.2">
      <c r="A200" s="53" t="s">
        <v>377</v>
      </c>
      <c r="B200" s="125" t="s">
        <v>87</v>
      </c>
      <c r="C200" s="62" t="s">
        <v>22</v>
      </c>
      <c r="D200" s="352">
        <v>51.2</v>
      </c>
      <c r="E200" s="229">
        <v>0</v>
      </c>
      <c r="F200" s="229">
        <f>+D200*E200</f>
        <v>0</v>
      </c>
      <c r="G200" s="5"/>
      <c r="I200" s="3"/>
      <c r="J200" s="38"/>
      <c r="K200" s="3"/>
      <c r="L200" s="3"/>
      <c r="M200" s="3"/>
    </row>
    <row r="201" spans="1:13" s="24" customFormat="1" ht="25.5" x14ac:dyDescent="0.2">
      <c r="A201" s="53" t="s">
        <v>492</v>
      </c>
      <c r="B201" s="57" t="s">
        <v>120</v>
      </c>
      <c r="C201" s="62" t="s">
        <v>13</v>
      </c>
      <c r="D201" s="352">
        <v>31</v>
      </c>
      <c r="E201" s="229">
        <v>0</v>
      </c>
      <c r="F201" s="229">
        <f>+D201*E201</f>
        <v>0</v>
      </c>
      <c r="G201" s="5"/>
      <c r="I201" s="3"/>
      <c r="J201" s="38"/>
      <c r="K201" s="3"/>
      <c r="L201" s="3"/>
      <c r="M201" s="3"/>
    </row>
    <row r="202" spans="1:13" s="24" customFormat="1" ht="25.5" x14ac:dyDescent="0.2">
      <c r="A202" s="53" t="s">
        <v>493</v>
      </c>
      <c r="B202" s="57" t="s">
        <v>220</v>
      </c>
      <c r="C202" s="62" t="s">
        <v>13</v>
      </c>
      <c r="D202" s="352">
        <v>4</v>
      </c>
      <c r="E202" s="229">
        <v>0</v>
      </c>
      <c r="F202" s="229">
        <f>D202*E202</f>
        <v>0</v>
      </c>
      <c r="G202" s="5"/>
      <c r="I202" s="3"/>
      <c r="J202" s="38"/>
      <c r="K202" s="3"/>
      <c r="L202" s="3"/>
      <c r="M202" s="3"/>
    </row>
    <row r="203" spans="1:13" s="24" customFormat="1" x14ac:dyDescent="0.2">
      <c r="A203" s="53" t="s">
        <v>494</v>
      </c>
      <c r="B203" s="57" t="s">
        <v>253</v>
      </c>
      <c r="C203" s="62" t="s">
        <v>20</v>
      </c>
      <c r="D203" s="352">
        <v>14.4</v>
      </c>
      <c r="E203" s="229">
        <v>0</v>
      </c>
      <c r="F203" s="229">
        <f>E203*D203</f>
        <v>0</v>
      </c>
      <c r="G203" s="5"/>
      <c r="I203" s="3"/>
      <c r="J203" s="38"/>
      <c r="K203" s="3"/>
      <c r="L203" s="3"/>
      <c r="M203" s="3"/>
    </row>
    <row r="204" spans="1:13" s="24" customFormat="1" ht="38.25" x14ac:dyDescent="0.2">
      <c r="A204" s="53" t="s">
        <v>495</v>
      </c>
      <c r="B204" s="57" t="s">
        <v>246</v>
      </c>
      <c r="C204" s="62" t="s">
        <v>13</v>
      </c>
      <c r="D204" s="352">
        <v>126</v>
      </c>
      <c r="E204" s="229">
        <v>0</v>
      </c>
      <c r="F204" s="229">
        <f>+D204*E204</f>
        <v>0</v>
      </c>
      <c r="G204" s="5"/>
      <c r="I204" s="3"/>
      <c r="J204" s="3"/>
      <c r="K204" s="3"/>
      <c r="L204" s="3"/>
      <c r="M204" s="3"/>
    </row>
    <row r="205" spans="1:13" s="24" customFormat="1" ht="27" x14ac:dyDescent="0.2">
      <c r="A205" s="53" t="s">
        <v>496</v>
      </c>
      <c r="B205" s="57" t="s">
        <v>254</v>
      </c>
      <c r="C205" s="62" t="s">
        <v>20</v>
      </c>
      <c r="D205" s="352">
        <v>2.88</v>
      </c>
      <c r="E205" s="229">
        <v>0</v>
      </c>
      <c r="F205" s="229">
        <f>+D205*E205</f>
        <v>0</v>
      </c>
      <c r="G205" s="5"/>
      <c r="I205" s="3"/>
      <c r="J205" s="3"/>
      <c r="K205" s="3"/>
      <c r="L205" s="3"/>
      <c r="M205" s="3"/>
    </row>
    <row r="206" spans="1:13" s="24" customFormat="1" ht="25.5" x14ac:dyDescent="0.2">
      <c r="A206" s="53" t="s">
        <v>497</v>
      </c>
      <c r="B206" s="57" t="s">
        <v>255</v>
      </c>
      <c r="C206" s="62" t="s">
        <v>31</v>
      </c>
      <c r="D206" s="352">
        <v>97</v>
      </c>
      <c r="E206" s="229">
        <v>0</v>
      </c>
      <c r="F206" s="229">
        <f>+D206*E206</f>
        <v>0</v>
      </c>
      <c r="G206" s="5"/>
      <c r="I206" s="3"/>
      <c r="J206" s="3"/>
      <c r="K206" s="3"/>
      <c r="L206" s="3"/>
      <c r="M206" s="3"/>
    </row>
    <row r="207" spans="1:13" s="24" customFormat="1" ht="25.5" x14ac:dyDescent="0.2">
      <c r="A207" s="53" t="s">
        <v>498</v>
      </c>
      <c r="B207" s="57" t="s">
        <v>235</v>
      </c>
      <c r="C207" s="62" t="s">
        <v>20</v>
      </c>
      <c r="D207" s="352">
        <v>3.7</v>
      </c>
      <c r="E207" s="229">
        <v>0</v>
      </c>
      <c r="F207" s="229">
        <f>D207*E207</f>
        <v>0</v>
      </c>
      <c r="G207" s="12"/>
      <c r="I207" s="3"/>
      <c r="J207" s="3"/>
      <c r="K207" s="3"/>
      <c r="L207" s="3"/>
      <c r="M207" s="3"/>
    </row>
    <row r="208" spans="1:13" s="24" customFormat="1" x14ac:dyDescent="0.2">
      <c r="A208" s="316" t="s">
        <v>499</v>
      </c>
      <c r="B208" s="317"/>
      <c r="C208" s="317"/>
      <c r="D208" s="341"/>
      <c r="E208" s="257"/>
      <c r="F208" s="258">
        <f>SUM(F189:F207)</f>
        <v>0</v>
      </c>
      <c r="G208" s="5"/>
      <c r="I208" s="3"/>
      <c r="J208" s="3"/>
      <c r="K208" s="3"/>
      <c r="L208" s="3"/>
      <c r="M208" s="3"/>
    </row>
    <row r="209" spans="1:13" s="24" customFormat="1" x14ac:dyDescent="0.2">
      <c r="A209" s="172"/>
      <c r="B209" s="172"/>
      <c r="C209" s="172"/>
      <c r="D209" s="370"/>
      <c r="E209" s="225"/>
      <c r="F209" s="247"/>
      <c r="G209" s="5"/>
      <c r="I209" s="3"/>
      <c r="J209" s="3"/>
      <c r="K209" s="3"/>
      <c r="L209" s="3"/>
      <c r="M209" s="3"/>
    </row>
    <row r="210" spans="1:13" s="24" customFormat="1" x14ac:dyDescent="0.2">
      <c r="A210" s="158" t="s">
        <v>500</v>
      </c>
      <c r="B210" s="159"/>
      <c r="C210" s="174" t="s">
        <v>6</v>
      </c>
      <c r="D210" s="355" t="s">
        <v>7</v>
      </c>
      <c r="E210" s="235" t="s">
        <v>8</v>
      </c>
      <c r="F210" s="236" t="s">
        <v>9</v>
      </c>
      <c r="G210" s="5"/>
      <c r="I210" s="3"/>
      <c r="J210" s="3"/>
      <c r="K210" s="3"/>
      <c r="L210" s="3"/>
      <c r="M210" s="3"/>
    </row>
    <row r="211" spans="1:13" s="24" customFormat="1" x14ac:dyDescent="0.2">
      <c r="A211" s="114" t="s">
        <v>501</v>
      </c>
      <c r="B211" s="115" t="s">
        <v>199</v>
      </c>
      <c r="C211" s="129"/>
      <c r="D211" s="371"/>
      <c r="E211" s="262"/>
      <c r="F211" s="243"/>
      <c r="G211" s="5"/>
      <c r="I211" s="3"/>
      <c r="J211" s="3"/>
      <c r="K211" s="3"/>
      <c r="L211" s="3"/>
      <c r="M211" s="3"/>
    </row>
    <row r="212" spans="1:13" s="24" customFormat="1" ht="38.25" x14ac:dyDescent="0.2">
      <c r="A212" s="114" t="s">
        <v>156</v>
      </c>
      <c r="B212" s="57" t="s">
        <v>121</v>
      </c>
      <c r="C212" s="62" t="s">
        <v>22</v>
      </c>
      <c r="D212" s="352">
        <v>135</v>
      </c>
      <c r="E212" s="229">
        <v>0</v>
      </c>
      <c r="F212" s="238">
        <f>+D212*E212</f>
        <v>0</v>
      </c>
      <c r="G212" s="5"/>
      <c r="I212" s="3"/>
      <c r="J212" s="3"/>
      <c r="K212" s="3"/>
      <c r="L212" s="3"/>
      <c r="M212" s="3"/>
    </row>
    <row r="213" spans="1:13" s="24" customFormat="1" ht="38.25" x14ac:dyDescent="0.2">
      <c r="A213" s="114" t="s">
        <v>157</v>
      </c>
      <c r="B213" s="57" t="s">
        <v>122</v>
      </c>
      <c r="C213" s="62" t="s">
        <v>20</v>
      </c>
      <c r="D213" s="352">
        <v>44.25</v>
      </c>
      <c r="E213" s="229">
        <v>0</v>
      </c>
      <c r="F213" s="242">
        <f>+D213*E213</f>
        <v>0</v>
      </c>
      <c r="G213" s="5"/>
      <c r="I213" s="3"/>
      <c r="J213" s="3"/>
      <c r="K213" s="3"/>
      <c r="L213" s="3"/>
      <c r="M213" s="3"/>
    </row>
    <row r="214" spans="1:13" s="24" customFormat="1" ht="25.5" x14ac:dyDescent="0.2">
      <c r="A214" s="114" t="s">
        <v>158</v>
      </c>
      <c r="B214" s="57" t="s">
        <v>123</v>
      </c>
      <c r="C214" s="62" t="s">
        <v>22</v>
      </c>
      <c r="D214" s="352">
        <v>110.5</v>
      </c>
      <c r="E214" s="229">
        <v>0</v>
      </c>
      <c r="F214" s="229">
        <f>+D214*E214</f>
        <v>0</v>
      </c>
      <c r="G214" s="5"/>
      <c r="I214" s="3"/>
      <c r="J214" s="3"/>
      <c r="K214" s="3"/>
      <c r="L214" s="3"/>
      <c r="M214" s="3"/>
    </row>
    <row r="215" spans="1:13" s="24" customFormat="1" ht="25.5" x14ac:dyDescent="0.2">
      <c r="A215" s="114" t="s">
        <v>379</v>
      </c>
      <c r="B215" s="112" t="s">
        <v>124</v>
      </c>
      <c r="C215" s="113" t="s">
        <v>22</v>
      </c>
      <c r="D215" s="352">
        <f>+D214-66*0.49</f>
        <v>78.16</v>
      </c>
      <c r="E215" s="229">
        <v>0</v>
      </c>
      <c r="F215" s="229">
        <f>+D215*E215</f>
        <v>0</v>
      </c>
      <c r="G215" s="5"/>
      <c r="I215" s="3"/>
      <c r="J215" s="3"/>
      <c r="K215" s="3"/>
      <c r="L215" s="3"/>
      <c r="M215" s="3"/>
    </row>
    <row r="216" spans="1:13" s="24" customFormat="1" x14ac:dyDescent="0.2">
      <c r="A216" s="114"/>
      <c r="B216" s="216"/>
      <c r="C216" s="149"/>
      <c r="D216" s="353"/>
      <c r="E216" s="233"/>
      <c r="F216" s="234"/>
      <c r="G216" s="5"/>
      <c r="I216" s="3"/>
      <c r="J216" s="3"/>
      <c r="K216" s="3"/>
      <c r="L216" s="3"/>
      <c r="M216" s="3"/>
    </row>
    <row r="217" spans="1:13" s="24" customFormat="1" x14ac:dyDescent="0.2">
      <c r="A217" s="215" t="s">
        <v>502</v>
      </c>
      <c r="B217" s="60" t="s">
        <v>53</v>
      </c>
      <c r="C217" s="59"/>
      <c r="D217" s="352"/>
      <c r="E217" s="229"/>
      <c r="F217" s="229"/>
      <c r="G217" s="5"/>
      <c r="I217" s="3"/>
      <c r="J217" s="3"/>
      <c r="K217" s="3"/>
      <c r="L217" s="3"/>
      <c r="M217" s="3"/>
    </row>
    <row r="218" spans="1:13" s="24" customFormat="1" ht="38.25" x14ac:dyDescent="0.2">
      <c r="A218" s="53" t="s">
        <v>209</v>
      </c>
      <c r="B218" s="57" t="s">
        <v>125</v>
      </c>
      <c r="C218" s="62" t="s">
        <v>20</v>
      </c>
      <c r="D218" s="352">
        <f>+(129-0.64*66)*0.6</f>
        <v>52.05599999999999</v>
      </c>
      <c r="E218" s="229">
        <v>0</v>
      </c>
      <c r="F218" s="229">
        <f>+D218*E218</f>
        <v>0</v>
      </c>
      <c r="G218" s="5"/>
      <c r="I218" s="3"/>
      <c r="J218" s="3"/>
      <c r="K218" s="3"/>
      <c r="L218" s="3"/>
      <c r="M218" s="3"/>
    </row>
    <row r="219" spans="1:13" s="24" customFormat="1" ht="25.5" x14ac:dyDescent="0.2">
      <c r="A219" s="53" t="s">
        <v>210</v>
      </c>
      <c r="B219" s="169" t="s">
        <v>282</v>
      </c>
      <c r="C219" s="135" t="s">
        <v>20</v>
      </c>
      <c r="D219" s="357">
        <v>27</v>
      </c>
      <c r="E219" s="240">
        <v>0</v>
      </c>
      <c r="F219" s="240">
        <f>+D219*E219</f>
        <v>0</v>
      </c>
      <c r="G219" s="5"/>
      <c r="I219" s="3"/>
      <c r="J219" s="3"/>
      <c r="K219" s="3"/>
      <c r="L219" s="3"/>
      <c r="M219" s="3"/>
    </row>
    <row r="220" spans="1:13" s="24" customFormat="1" x14ac:dyDescent="0.2">
      <c r="A220" s="156"/>
      <c r="B220" s="2"/>
      <c r="C220" s="70"/>
      <c r="D220" s="353"/>
      <c r="E220" s="233"/>
      <c r="F220" s="234"/>
      <c r="G220" s="5"/>
      <c r="I220" s="3"/>
      <c r="J220" s="3"/>
      <c r="K220" s="3"/>
      <c r="L220" s="3"/>
      <c r="M220" s="3"/>
    </row>
    <row r="221" spans="1:13" s="24" customFormat="1" x14ac:dyDescent="0.2">
      <c r="A221" s="53" t="s">
        <v>503</v>
      </c>
      <c r="B221" s="60" t="s">
        <v>56</v>
      </c>
      <c r="C221" s="62"/>
      <c r="D221" s="352"/>
      <c r="E221" s="229"/>
      <c r="F221" s="229"/>
      <c r="G221" s="5"/>
      <c r="I221" s="3"/>
      <c r="J221" s="3"/>
      <c r="K221" s="3"/>
      <c r="L221" s="3"/>
      <c r="M221" s="3"/>
    </row>
    <row r="222" spans="1:13" s="24" customFormat="1" ht="25.5" x14ac:dyDescent="0.2">
      <c r="A222" s="53" t="s">
        <v>504</v>
      </c>
      <c r="B222" s="57" t="s">
        <v>135</v>
      </c>
      <c r="C222" s="62" t="s">
        <v>13</v>
      </c>
      <c r="D222" s="352">
        <v>66</v>
      </c>
      <c r="E222" s="229">
        <v>0</v>
      </c>
      <c r="F222" s="229">
        <f>D222*E222</f>
        <v>0</v>
      </c>
      <c r="G222" s="5"/>
      <c r="I222" s="3"/>
      <c r="J222" s="3"/>
      <c r="K222" s="3"/>
      <c r="L222" s="3"/>
      <c r="M222" s="3"/>
    </row>
    <row r="223" spans="1:13" s="24" customFormat="1" x14ac:dyDescent="0.2">
      <c r="A223" s="53"/>
      <c r="B223" s="57"/>
      <c r="C223" s="62"/>
      <c r="D223" s="352"/>
      <c r="E223" s="229"/>
      <c r="F223" s="229"/>
      <c r="G223" s="5"/>
      <c r="I223" s="3"/>
      <c r="J223" s="3"/>
      <c r="K223" s="3"/>
      <c r="L223" s="3"/>
      <c r="M223" s="3"/>
    </row>
    <row r="224" spans="1:13" s="24" customFormat="1" x14ac:dyDescent="0.2">
      <c r="A224" s="53" t="s">
        <v>505</v>
      </c>
      <c r="B224" s="60" t="s">
        <v>78</v>
      </c>
      <c r="C224" s="62"/>
      <c r="D224" s="352"/>
      <c r="E224" s="229"/>
      <c r="F224" s="229"/>
      <c r="G224" s="5"/>
      <c r="I224" s="3"/>
      <c r="J224" s="3"/>
      <c r="K224" s="3"/>
      <c r="L224" s="3"/>
      <c r="M224" s="3"/>
    </row>
    <row r="225" spans="1:13" s="24" customFormat="1" ht="38.25" x14ac:dyDescent="0.2">
      <c r="A225" s="53" t="s">
        <v>506</v>
      </c>
      <c r="B225" s="57" t="s">
        <v>127</v>
      </c>
      <c r="C225" s="62" t="s">
        <v>79</v>
      </c>
      <c r="D225" s="352">
        <v>141.5487</v>
      </c>
      <c r="E225" s="229">
        <v>0</v>
      </c>
      <c r="F225" s="229">
        <f>+D225*E225</f>
        <v>0</v>
      </c>
      <c r="G225" s="5"/>
      <c r="I225" s="3"/>
      <c r="J225" s="3"/>
      <c r="K225" s="3"/>
      <c r="L225" s="3"/>
      <c r="M225" s="3"/>
    </row>
    <row r="226" spans="1:13" s="24" customFormat="1" x14ac:dyDescent="0.2">
      <c r="A226" s="156"/>
      <c r="B226" s="2"/>
      <c r="C226" s="70"/>
      <c r="D226" s="353"/>
      <c r="E226" s="233"/>
      <c r="F226" s="234"/>
      <c r="G226" s="5"/>
      <c r="I226" s="3"/>
      <c r="J226" s="3"/>
      <c r="K226" s="3"/>
      <c r="L226" s="3"/>
      <c r="M226" s="3"/>
    </row>
    <row r="227" spans="1:13" s="24" customFormat="1" x14ac:dyDescent="0.2">
      <c r="A227" s="53" t="s">
        <v>507</v>
      </c>
      <c r="B227" s="60" t="s">
        <v>81</v>
      </c>
      <c r="C227" s="62"/>
      <c r="D227" s="352"/>
      <c r="E227" s="229"/>
      <c r="F227" s="229"/>
      <c r="G227" s="5"/>
      <c r="I227" s="3"/>
      <c r="J227" s="3"/>
      <c r="K227" s="3"/>
      <c r="L227" s="3"/>
      <c r="M227" s="3"/>
    </row>
    <row r="228" spans="1:13" s="24" customFormat="1" ht="25.5" x14ac:dyDescent="0.2">
      <c r="A228" s="53" t="s">
        <v>508</v>
      </c>
      <c r="B228" s="57" t="s">
        <v>267</v>
      </c>
      <c r="C228" s="62" t="s">
        <v>22</v>
      </c>
      <c r="D228" s="352">
        <v>53.2</v>
      </c>
      <c r="E228" s="229">
        <v>0</v>
      </c>
      <c r="F228" s="229">
        <f>+D228*E228</f>
        <v>0</v>
      </c>
      <c r="G228" s="5"/>
      <c r="I228" s="3"/>
      <c r="J228" s="3"/>
      <c r="K228" s="3"/>
      <c r="L228" s="3"/>
      <c r="M228" s="3"/>
    </row>
    <row r="229" spans="1:13" s="24" customFormat="1" x14ac:dyDescent="0.2">
      <c r="A229" s="156"/>
      <c r="B229" s="2"/>
      <c r="C229" s="70"/>
      <c r="D229" s="353"/>
      <c r="E229" s="263"/>
      <c r="F229" s="234"/>
      <c r="G229" s="5"/>
      <c r="I229" s="3"/>
      <c r="J229" s="3"/>
      <c r="K229" s="3"/>
      <c r="L229" s="3"/>
      <c r="M229" s="3"/>
    </row>
    <row r="230" spans="1:13" s="24" customFormat="1" x14ac:dyDescent="0.2">
      <c r="A230" s="53" t="s">
        <v>509</v>
      </c>
      <c r="B230" s="60" t="s">
        <v>85</v>
      </c>
      <c r="C230" s="62"/>
      <c r="D230" s="352"/>
      <c r="E230" s="229"/>
      <c r="F230" s="229"/>
      <c r="G230" s="5"/>
      <c r="I230" s="3"/>
      <c r="J230" s="3"/>
      <c r="K230" s="3"/>
      <c r="L230" s="3"/>
      <c r="M230" s="3"/>
    </row>
    <row r="231" spans="1:13" s="24" customFormat="1" ht="25.5" x14ac:dyDescent="0.2">
      <c r="A231" s="53" t="s">
        <v>510</v>
      </c>
      <c r="B231" s="57" t="s">
        <v>235</v>
      </c>
      <c r="C231" s="62" t="s">
        <v>20</v>
      </c>
      <c r="D231" s="352">
        <v>4.26</v>
      </c>
      <c r="E231" s="229">
        <v>0</v>
      </c>
      <c r="F231" s="229">
        <f>D231*E231</f>
        <v>0</v>
      </c>
      <c r="G231" s="5"/>
      <c r="I231" s="3"/>
      <c r="J231" s="3"/>
      <c r="K231" s="3"/>
      <c r="L231" s="3"/>
      <c r="M231" s="3"/>
    </row>
    <row r="232" spans="1:13" s="24" customFormat="1" x14ac:dyDescent="0.2">
      <c r="A232" s="316" t="s">
        <v>511</v>
      </c>
      <c r="B232" s="317"/>
      <c r="C232" s="129"/>
      <c r="D232" s="366"/>
      <c r="E232" s="245"/>
      <c r="F232" s="246">
        <f>SUM(F211:F231)</f>
        <v>0</v>
      </c>
      <c r="G232" s="5"/>
      <c r="I232" s="3"/>
      <c r="J232" s="3"/>
      <c r="K232" s="3"/>
      <c r="L232" s="3"/>
      <c r="M232" s="3"/>
    </row>
    <row r="233" spans="1:13" s="24" customFormat="1" x14ac:dyDescent="0.2">
      <c r="A233" s="172"/>
      <c r="B233" s="172"/>
      <c r="C233" s="117"/>
      <c r="D233" s="118"/>
      <c r="E233" s="225"/>
      <c r="F233" s="247"/>
      <c r="G233" s="5"/>
      <c r="I233" s="3"/>
      <c r="J233" s="3"/>
      <c r="K233" s="3"/>
      <c r="L233" s="3"/>
      <c r="M233" s="3"/>
    </row>
    <row r="234" spans="1:13" s="24" customFormat="1" x14ac:dyDescent="0.2">
      <c r="A234" s="164" t="s">
        <v>512</v>
      </c>
      <c r="B234" s="176"/>
      <c r="C234" s="173" t="s">
        <v>6</v>
      </c>
      <c r="D234" s="367" t="s">
        <v>7</v>
      </c>
      <c r="E234" s="255" t="s">
        <v>8</v>
      </c>
      <c r="F234" s="256" t="s">
        <v>9</v>
      </c>
      <c r="G234" s="5"/>
      <c r="I234" s="3"/>
      <c r="J234" s="3"/>
      <c r="K234" s="3"/>
      <c r="L234" s="3"/>
      <c r="M234" s="3"/>
    </row>
    <row r="235" spans="1:13" s="24" customFormat="1" x14ac:dyDescent="0.2">
      <c r="A235" s="156" t="s">
        <v>513</v>
      </c>
      <c r="B235" s="115" t="s">
        <v>27</v>
      </c>
      <c r="C235" s="3"/>
      <c r="D235" s="353"/>
      <c r="E235" s="233"/>
      <c r="F235" s="240"/>
      <c r="G235" s="5"/>
      <c r="I235" s="3"/>
      <c r="J235" s="3"/>
      <c r="K235" s="3"/>
      <c r="L235" s="3"/>
      <c r="M235" s="3"/>
    </row>
    <row r="236" spans="1:13" s="24" customFormat="1" x14ac:dyDescent="0.2">
      <c r="A236" s="114" t="s">
        <v>304</v>
      </c>
      <c r="B236" s="57" t="s">
        <v>174</v>
      </c>
      <c r="C236" s="62" t="s">
        <v>22</v>
      </c>
      <c r="D236" s="352">
        <f>4.9*2</f>
        <v>9.8000000000000007</v>
      </c>
      <c r="E236" s="229">
        <v>0</v>
      </c>
      <c r="F236" s="229">
        <f>D236*E236</f>
        <v>0</v>
      </c>
      <c r="G236" s="5"/>
      <c r="I236" s="3"/>
      <c r="J236" s="3"/>
      <c r="K236" s="3"/>
      <c r="L236" s="3"/>
      <c r="M236" s="3"/>
    </row>
    <row r="237" spans="1:13" s="24" customFormat="1" x14ac:dyDescent="0.2">
      <c r="A237" s="114" t="s">
        <v>514</v>
      </c>
      <c r="B237" s="57" t="s">
        <v>175</v>
      </c>
      <c r="C237" s="62" t="s">
        <v>22</v>
      </c>
      <c r="D237" s="352">
        <f>13*2</f>
        <v>26</v>
      </c>
      <c r="E237" s="229">
        <v>0</v>
      </c>
      <c r="F237" s="229">
        <f>D237*E237</f>
        <v>0</v>
      </c>
      <c r="G237" s="5"/>
      <c r="I237" s="3"/>
      <c r="J237" s="3"/>
      <c r="K237" s="3"/>
      <c r="L237" s="3"/>
      <c r="M237" s="3"/>
    </row>
    <row r="238" spans="1:13" s="24" customFormat="1" x14ac:dyDescent="0.2">
      <c r="A238" s="156"/>
      <c r="B238" s="216"/>
      <c r="C238" s="149"/>
      <c r="D238" s="372"/>
      <c r="E238" s="264"/>
      <c r="F238" s="265"/>
      <c r="G238" s="5"/>
      <c r="I238" s="3"/>
      <c r="J238" s="3"/>
      <c r="K238" s="3"/>
      <c r="L238" s="3"/>
      <c r="M238" s="3"/>
    </row>
    <row r="239" spans="1:13" s="24" customFormat="1" x14ac:dyDescent="0.2">
      <c r="A239" s="53" t="s">
        <v>515</v>
      </c>
      <c r="B239" s="60" t="s">
        <v>56</v>
      </c>
      <c r="C239" s="62"/>
      <c r="D239" s="352"/>
      <c r="E239" s="229"/>
      <c r="F239" s="229"/>
      <c r="G239" s="5"/>
      <c r="I239" s="3"/>
      <c r="J239" s="3"/>
      <c r="K239" s="3"/>
      <c r="L239" s="3"/>
      <c r="M239" s="3"/>
    </row>
    <row r="240" spans="1:13" s="24" customFormat="1" ht="25.5" x14ac:dyDescent="0.2">
      <c r="A240" s="53" t="s">
        <v>305</v>
      </c>
      <c r="B240" s="57" t="s">
        <v>268</v>
      </c>
      <c r="C240" s="62" t="s">
        <v>20</v>
      </c>
      <c r="D240" s="352">
        <v>1</v>
      </c>
      <c r="E240" s="229">
        <v>0</v>
      </c>
      <c r="F240" s="229">
        <f>+E240*D240</f>
        <v>0</v>
      </c>
      <c r="G240" s="5"/>
      <c r="I240" s="3"/>
      <c r="J240" s="3"/>
      <c r="K240" s="3"/>
      <c r="L240" s="3"/>
      <c r="M240" s="3"/>
    </row>
    <row r="241" spans="1:13" s="24" customFormat="1" ht="25.5" x14ac:dyDescent="0.2">
      <c r="A241" s="53" t="s">
        <v>306</v>
      </c>
      <c r="B241" s="57" t="s">
        <v>176</v>
      </c>
      <c r="C241" s="62" t="s">
        <v>20</v>
      </c>
      <c r="D241" s="352">
        <v>2.58</v>
      </c>
      <c r="E241" s="229">
        <v>0</v>
      </c>
      <c r="F241" s="229">
        <f>D241*E241</f>
        <v>0</v>
      </c>
      <c r="G241" s="71"/>
      <c r="I241" s="3"/>
      <c r="J241" s="3"/>
      <c r="K241" s="3"/>
      <c r="L241" s="3"/>
      <c r="M241" s="3"/>
    </row>
    <row r="242" spans="1:13" s="24" customFormat="1" x14ac:dyDescent="0.2">
      <c r="A242" s="156"/>
      <c r="B242" s="216"/>
      <c r="C242" s="149"/>
      <c r="D242" s="372"/>
      <c r="E242" s="264"/>
      <c r="F242" s="265"/>
      <c r="G242" s="71"/>
      <c r="I242" s="3"/>
      <c r="J242" s="3"/>
      <c r="K242" s="3"/>
      <c r="L242" s="3"/>
      <c r="M242" s="3"/>
    </row>
    <row r="243" spans="1:13" s="24" customFormat="1" x14ac:dyDescent="0.2">
      <c r="A243" s="53" t="s">
        <v>516</v>
      </c>
      <c r="B243" s="60" t="s">
        <v>177</v>
      </c>
      <c r="C243" s="62"/>
      <c r="D243" s="352"/>
      <c r="E243" s="229"/>
      <c r="F243" s="229"/>
      <c r="G243" s="71"/>
      <c r="I243" s="3"/>
      <c r="J243" s="3"/>
      <c r="K243" s="3"/>
      <c r="L243" s="3"/>
      <c r="M243" s="3"/>
    </row>
    <row r="244" spans="1:13" s="24" customFormat="1" ht="38.25" x14ac:dyDescent="0.2">
      <c r="A244" s="53" t="s">
        <v>380</v>
      </c>
      <c r="B244" s="57" t="s">
        <v>189</v>
      </c>
      <c r="C244" s="62" t="s">
        <v>20</v>
      </c>
      <c r="D244" s="352">
        <v>2.58</v>
      </c>
      <c r="E244" s="229">
        <v>0</v>
      </c>
      <c r="F244" s="229">
        <f>D244*E244</f>
        <v>0</v>
      </c>
      <c r="G244" s="71"/>
      <c r="I244" s="3"/>
      <c r="J244" s="3"/>
      <c r="K244" s="3"/>
      <c r="L244" s="3"/>
      <c r="M244" s="3"/>
    </row>
    <row r="245" spans="1:13" s="24" customFormat="1" x14ac:dyDescent="0.2">
      <c r="A245" s="114"/>
      <c r="B245" s="140"/>
      <c r="C245" s="136"/>
      <c r="D245" s="371"/>
      <c r="E245" s="262"/>
      <c r="F245" s="243"/>
      <c r="G245" s="71"/>
      <c r="I245" s="3"/>
      <c r="J245" s="3"/>
      <c r="K245" s="3"/>
      <c r="L245" s="3"/>
      <c r="M245" s="3"/>
    </row>
    <row r="246" spans="1:13" s="24" customFormat="1" x14ac:dyDescent="0.2">
      <c r="A246" s="114" t="s">
        <v>517</v>
      </c>
      <c r="B246" s="115" t="s">
        <v>65</v>
      </c>
      <c r="C246" s="136"/>
      <c r="D246" s="371"/>
      <c r="E246" s="262"/>
      <c r="F246" s="243"/>
      <c r="G246" s="71"/>
      <c r="I246" s="3"/>
      <c r="J246" s="3"/>
      <c r="K246" s="3"/>
      <c r="L246" s="3"/>
      <c r="M246" s="3"/>
    </row>
    <row r="247" spans="1:13" s="24" customFormat="1" ht="25.5" x14ac:dyDescent="0.2">
      <c r="A247" s="53" t="s">
        <v>381</v>
      </c>
      <c r="B247" s="57" t="s">
        <v>178</v>
      </c>
      <c r="C247" s="62" t="s">
        <v>67</v>
      </c>
      <c r="D247" s="352">
        <f>102.78*2</f>
        <v>205.56</v>
      </c>
      <c r="E247" s="237">
        <v>0</v>
      </c>
      <c r="F247" s="229">
        <f>D247*E247</f>
        <v>0</v>
      </c>
      <c r="G247" s="71"/>
      <c r="I247" s="3"/>
      <c r="J247" s="3"/>
      <c r="K247" s="3"/>
      <c r="L247" s="3"/>
      <c r="M247" s="3"/>
    </row>
    <row r="248" spans="1:13" s="24" customFormat="1" ht="25.5" x14ac:dyDescent="0.2">
      <c r="A248" s="53" t="s">
        <v>382</v>
      </c>
      <c r="B248" s="54" t="s">
        <v>243</v>
      </c>
      <c r="C248" s="62" t="s">
        <v>67</v>
      </c>
      <c r="D248" s="352">
        <f>78.15*2</f>
        <v>156.30000000000001</v>
      </c>
      <c r="E248" s="237">
        <v>0</v>
      </c>
      <c r="F248" s="229">
        <f>D248*E248</f>
        <v>0</v>
      </c>
      <c r="G248" s="71"/>
      <c r="I248" s="3"/>
      <c r="J248" s="3"/>
      <c r="K248" s="3"/>
      <c r="L248" s="3"/>
      <c r="M248" s="3"/>
    </row>
    <row r="249" spans="1:13" s="24" customFormat="1" x14ac:dyDescent="0.2">
      <c r="A249" s="156"/>
      <c r="B249" s="2"/>
      <c r="C249" s="149"/>
      <c r="D249" s="372"/>
      <c r="E249" s="233"/>
      <c r="F249" s="265"/>
      <c r="G249" s="71"/>
      <c r="I249" s="3"/>
      <c r="J249" s="3"/>
      <c r="K249" s="3"/>
      <c r="L249" s="3"/>
      <c r="M249" s="3"/>
    </row>
    <row r="250" spans="1:13" s="24" customFormat="1" x14ac:dyDescent="0.2">
      <c r="A250" s="53" t="s">
        <v>518</v>
      </c>
      <c r="B250" s="60" t="s">
        <v>180</v>
      </c>
      <c r="C250" s="62"/>
      <c r="D250" s="352"/>
      <c r="E250" s="229"/>
      <c r="F250" s="229"/>
      <c r="G250" s="71"/>
      <c r="I250" s="3"/>
      <c r="J250" s="3"/>
      <c r="K250" s="3"/>
      <c r="L250" s="3"/>
      <c r="M250" s="3"/>
    </row>
    <row r="251" spans="1:13" s="24" customFormat="1" ht="25.5" x14ac:dyDescent="0.2">
      <c r="A251" s="53" t="s">
        <v>519</v>
      </c>
      <c r="B251" s="57" t="s">
        <v>249</v>
      </c>
      <c r="C251" s="62" t="s">
        <v>13</v>
      </c>
      <c r="D251" s="352">
        <v>2</v>
      </c>
      <c r="E251" s="229">
        <v>0</v>
      </c>
      <c r="F251" s="229">
        <f>D251*E251</f>
        <v>0</v>
      </c>
      <c r="G251" s="145"/>
      <c r="I251" s="3"/>
      <c r="J251" s="3"/>
      <c r="K251" s="3"/>
      <c r="L251" s="3"/>
      <c r="M251" s="3"/>
    </row>
    <row r="252" spans="1:13" s="24" customFormat="1" ht="25.5" x14ac:dyDescent="0.2">
      <c r="A252" s="53" t="s">
        <v>520</v>
      </c>
      <c r="B252" s="57" t="s">
        <v>182</v>
      </c>
      <c r="C252" s="62" t="s">
        <v>13</v>
      </c>
      <c r="D252" s="352">
        <v>2</v>
      </c>
      <c r="E252" s="229">
        <v>0</v>
      </c>
      <c r="F252" s="229">
        <f>D252*E252</f>
        <v>0</v>
      </c>
      <c r="G252" s="71"/>
      <c r="I252" s="3"/>
      <c r="J252" s="3"/>
      <c r="K252" s="3"/>
      <c r="L252" s="3"/>
      <c r="M252" s="3"/>
    </row>
    <row r="253" spans="1:13" s="24" customFormat="1" ht="25.5" x14ac:dyDescent="0.2">
      <c r="A253" s="53" t="s">
        <v>521</v>
      </c>
      <c r="B253" s="57" t="s">
        <v>184</v>
      </c>
      <c r="C253" s="62" t="s">
        <v>13</v>
      </c>
      <c r="D253" s="352">
        <v>2</v>
      </c>
      <c r="E253" s="229">
        <v>0</v>
      </c>
      <c r="F253" s="229">
        <f>D253*E253</f>
        <v>0</v>
      </c>
      <c r="G253" s="71"/>
      <c r="I253" s="3"/>
      <c r="J253" s="3"/>
      <c r="K253" s="3"/>
      <c r="L253" s="3"/>
      <c r="M253" s="3"/>
    </row>
    <row r="254" spans="1:13" s="24" customFormat="1" x14ac:dyDescent="0.2">
      <c r="A254" s="116"/>
      <c r="B254" s="140"/>
      <c r="C254" s="136"/>
      <c r="D254" s="371"/>
      <c r="E254" s="262"/>
      <c r="F254" s="243"/>
      <c r="G254" s="71"/>
      <c r="I254" s="3"/>
      <c r="J254" s="3"/>
      <c r="K254" s="3"/>
      <c r="L254" s="3"/>
      <c r="M254" s="3"/>
    </row>
    <row r="255" spans="1:13" s="24" customFormat="1" x14ac:dyDescent="0.2">
      <c r="A255" s="116" t="s">
        <v>522</v>
      </c>
      <c r="B255" s="60" t="s">
        <v>81</v>
      </c>
      <c r="C255" s="62"/>
      <c r="D255" s="352"/>
      <c r="E255" s="229"/>
      <c r="F255" s="229"/>
      <c r="G255" s="71"/>
      <c r="I255" s="3"/>
      <c r="J255" s="3"/>
      <c r="K255" s="3"/>
      <c r="L255" s="3"/>
      <c r="M255" s="3"/>
    </row>
    <row r="256" spans="1:13" s="24" customFormat="1" ht="25.5" x14ac:dyDescent="0.2">
      <c r="A256" s="116" t="s">
        <v>523</v>
      </c>
      <c r="B256" s="57" t="s">
        <v>266</v>
      </c>
      <c r="C256" s="62" t="s">
        <v>22</v>
      </c>
      <c r="D256" s="352">
        <v>29</v>
      </c>
      <c r="E256" s="229">
        <v>0</v>
      </c>
      <c r="F256" s="229">
        <f>+E256*D256</f>
        <v>0</v>
      </c>
      <c r="G256" s="71"/>
      <c r="I256" s="3"/>
      <c r="J256" s="3"/>
      <c r="K256" s="3"/>
      <c r="L256" s="3"/>
      <c r="M256" s="3"/>
    </row>
    <row r="257" spans="1:21" s="24" customFormat="1" x14ac:dyDescent="0.2">
      <c r="A257" s="116"/>
      <c r="B257" s="140"/>
      <c r="C257" s="136"/>
      <c r="D257" s="371"/>
      <c r="E257" s="262"/>
      <c r="F257" s="243"/>
      <c r="G257" s="71"/>
      <c r="I257" s="3"/>
      <c r="J257" s="3"/>
      <c r="K257" s="3"/>
      <c r="L257" s="3"/>
      <c r="M257" s="3"/>
    </row>
    <row r="258" spans="1:21" s="24" customFormat="1" x14ac:dyDescent="0.2">
      <c r="A258" s="116" t="s">
        <v>524</v>
      </c>
      <c r="B258" s="60" t="s">
        <v>24</v>
      </c>
      <c r="C258" s="62"/>
      <c r="D258" s="352"/>
      <c r="E258" s="229"/>
      <c r="F258" s="229"/>
      <c r="G258" s="71"/>
      <c r="I258" s="3"/>
      <c r="J258" s="3"/>
      <c r="K258" s="3"/>
      <c r="L258" s="3"/>
      <c r="M258" s="3"/>
    </row>
    <row r="259" spans="1:21" s="24" customFormat="1" ht="25.5" x14ac:dyDescent="0.2">
      <c r="A259" s="116" t="s">
        <v>525</v>
      </c>
      <c r="B259" s="57" t="s">
        <v>250</v>
      </c>
      <c r="C259" s="62" t="s">
        <v>20</v>
      </c>
      <c r="D259" s="352">
        <v>5.2</v>
      </c>
      <c r="E259" s="229">
        <v>0</v>
      </c>
      <c r="F259" s="229">
        <f>+D259*E259</f>
        <v>0</v>
      </c>
      <c r="G259" s="71"/>
      <c r="I259" s="3"/>
      <c r="J259" s="3"/>
      <c r="K259" s="3"/>
      <c r="L259" s="3"/>
      <c r="M259" s="3"/>
    </row>
    <row r="260" spans="1:21" s="24" customFormat="1" x14ac:dyDescent="0.2">
      <c r="A260" s="116"/>
      <c r="B260" s="140"/>
      <c r="C260" s="136"/>
      <c r="D260" s="371"/>
      <c r="E260" s="262"/>
      <c r="F260" s="243"/>
      <c r="G260" s="71"/>
      <c r="I260" s="3"/>
      <c r="J260" s="3"/>
      <c r="K260" s="3"/>
      <c r="L260" s="3"/>
      <c r="M260" s="3"/>
    </row>
    <row r="261" spans="1:21" x14ac:dyDescent="0.2">
      <c r="A261" s="114" t="s">
        <v>526</v>
      </c>
      <c r="B261" s="60" t="s">
        <v>252</v>
      </c>
      <c r="C261" s="62"/>
      <c r="D261" s="352"/>
      <c r="E261" s="229"/>
      <c r="F261" s="229"/>
      <c r="G261" s="71"/>
    </row>
    <row r="262" spans="1:21" ht="51" x14ac:dyDescent="0.2">
      <c r="A262" s="116" t="s">
        <v>527</v>
      </c>
      <c r="B262" s="57" t="s">
        <v>256</v>
      </c>
      <c r="C262" s="62" t="s">
        <v>31</v>
      </c>
      <c r="D262" s="352">
        <v>8.2200000000000006</v>
      </c>
      <c r="E262" s="229">
        <v>0</v>
      </c>
      <c r="F262" s="229">
        <f>+E262*D262</f>
        <v>0</v>
      </c>
      <c r="G262" s="71"/>
    </row>
    <row r="263" spans="1:21" ht="38.25" x14ac:dyDescent="0.2">
      <c r="A263" s="116" t="s">
        <v>528</v>
      </c>
      <c r="B263" s="57" t="s">
        <v>336</v>
      </c>
      <c r="C263" s="62" t="s">
        <v>31</v>
      </c>
      <c r="D263" s="352">
        <v>4.4000000000000004</v>
      </c>
      <c r="E263" s="229">
        <v>0</v>
      </c>
      <c r="F263" s="229">
        <f>+E263*D263</f>
        <v>0</v>
      </c>
      <c r="G263" s="71"/>
    </row>
    <row r="264" spans="1:21" x14ac:dyDescent="0.2">
      <c r="A264" s="316" t="s">
        <v>378</v>
      </c>
      <c r="B264" s="317"/>
      <c r="C264" s="129"/>
      <c r="D264" s="366"/>
      <c r="E264" s="245"/>
      <c r="F264" s="246">
        <f>SUM(F236:F262)</f>
        <v>0</v>
      </c>
      <c r="G264" s="71"/>
    </row>
    <row r="265" spans="1:21" x14ac:dyDescent="0.2">
      <c r="A265" s="336"/>
      <c r="B265" s="336"/>
      <c r="C265" s="117"/>
      <c r="D265" s="118"/>
      <c r="E265" s="264"/>
      <c r="F265" s="266"/>
      <c r="G265" s="71"/>
    </row>
    <row r="266" spans="1:21" x14ac:dyDescent="0.2">
      <c r="A266" s="160" t="s">
        <v>529</v>
      </c>
      <c r="B266" s="150"/>
      <c r="C266" s="149"/>
      <c r="D266" s="372"/>
      <c r="E266" s="264"/>
      <c r="F266" s="265"/>
      <c r="G266" s="71"/>
    </row>
    <row r="267" spans="1:21" s="28" customFormat="1" ht="15" x14ac:dyDescent="0.2">
      <c r="A267" s="133" t="s">
        <v>530</v>
      </c>
      <c r="B267" s="115"/>
      <c r="C267" s="179" t="s">
        <v>6</v>
      </c>
      <c r="D267" s="367" t="s">
        <v>7</v>
      </c>
      <c r="E267" s="255" t="s">
        <v>8</v>
      </c>
      <c r="F267" s="256" t="s">
        <v>9</v>
      </c>
      <c r="G267" s="71"/>
      <c r="H267" s="24"/>
      <c r="I267" s="146"/>
      <c r="J267" s="146"/>
      <c r="K267" s="146"/>
      <c r="L267" s="146"/>
      <c r="M267" s="146"/>
      <c r="N267" s="146"/>
      <c r="O267" s="146"/>
      <c r="P267" s="146"/>
      <c r="Q267" s="146"/>
      <c r="R267" s="146"/>
      <c r="S267" s="146"/>
      <c r="T267" s="146"/>
      <c r="U267" s="146"/>
    </row>
    <row r="268" spans="1:21" x14ac:dyDescent="0.2">
      <c r="A268" s="156" t="s">
        <v>307</v>
      </c>
      <c r="B268" s="10" t="s">
        <v>140</v>
      </c>
      <c r="D268" s="353"/>
      <c r="F268" s="267"/>
      <c r="G268" s="71"/>
    </row>
    <row r="269" spans="1:21" ht="25.5" x14ac:dyDescent="0.2">
      <c r="A269" s="154" t="s">
        <v>531</v>
      </c>
      <c r="B269" s="56" t="s">
        <v>0</v>
      </c>
      <c r="C269" s="113" t="s">
        <v>22</v>
      </c>
      <c r="D269" s="352">
        <v>119</v>
      </c>
      <c r="E269" s="268">
        <v>0</v>
      </c>
      <c r="F269" s="252">
        <f>+D269*E269</f>
        <v>0</v>
      </c>
      <c r="G269" s="88"/>
    </row>
    <row r="270" spans="1:21" ht="25.5" x14ac:dyDescent="0.2">
      <c r="A270" s="154" t="s">
        <v>532</v>
      </c>
      <c r="B270" s="138" t="s">
        <v>1</v>
      </c>
      <c r="C270" s="62" t="s">
        <v>20</v>
      </c>
      <c r="D270" s="352">
        <f>+D269*0.3</f>
        <v>35.699999999999996</v>
      </c>
      <c r="E270" s="269">
        <v>0</v>
      </c>
      <c r="F270" s="256">
        <f>+D270*E270</f>
        <v>0</v>
      </c>
      <c r="G270" s="71"/>
      <c r="J270" s="90"/>
    </row>
    <row r="271" spans="1:21" x14ac:dyDescent="0.2">
      <c r="A271" s="154"/>
      <c r="B271" s="216"/>
      <c r="C271" s="149"/>
      <c r="D271" s="372"/>
      <c r="E271" s="264"/>
      <c r="F271" s="265"/>
      <c r="G271" s="71"/>
      <c r="J271" s="90"/>
    </row>
    <row r="272" spans="1:21" x14ac:dyDescent="0.2">
      <c r="A272" s="53" t="s">
        <v>533</v>
      </c>
      <c r="B272" s="60" t="s">
        <v>199</v>
      </c>
      <c r="C272" s="59"/>
      <c r="D272" s="352"/>
      <c r="E272" s="229"/>
      <c r="F272" s="229"/>
      <c r="G272" s="71"/>
    </row>
    <row r="273" spans="1:17" ht="38.25" x14ac:dyDescent="0.2">
      <c r="A273" s="53" t="s">
        <v>534</v>
      </c>
      <c r="B273" s="57" t="s">
        <v>121</v>
      </c>
      <c r="C273" s="62" t="s">
        <v>22</v>
      </c>
      <c r="D273" s="352">
        <f>+D269</f>
        <v>119</v>
      </c>
      <c r="E273" s="229">
        <v>0</v>
      </c>
      <c r="F273" s="229">
        <f>+D273*E273</f>
        <v>0</v>
      </c>
      <c r="G273" s="71"/>
    </row>
    <row r="274" spans="1:17" x14ac:dyDescent="0.2">
      <c r="A274" s="156"/>
      <c r="C274" s="70"/>
      <c r="D274" s="353"/>
      <c r="F274" s="234"/>
      <c r="G274" s="71"/>
    </row>
    <row r="275" spans="1:17" x14ac:dyDescent="0.2">
      <c r="A275" s="53" t="s">
        <v>535</v>
      </c>
      <c r="B275" s="60" t="s">
        <v>211</v>
      </c>
      <c r="C275" s="62"/>
      <c r="D275" s="352"/>
      <c r="E275" s="229"/>
      <c r="F275" s="229"/>
      <c r="G275" s="71"/>
    </row>
    <row r="276" spans="1:17" ht="38.25" x14ac:dyDescent="0.2">
      <c r="A276" s="53" t="s">
        <v>536</v>
      </c>
      <c r="B276" s="57" t="s">
        <v>2</v>
      </c>
      <c r="C276" s="62" t="s">
        <v>22</v>
      </c>
      <c r="D276" s="352">
        <f>+D269</f>
        <v>119</v>
      </c>
      <c r="E276" s="229">
        <v>0</v>
      </c>
      <c r="F276" s="229">
        <f>D276*E276</f>
        <v>0</v>
      </c>
      <c r="G276" s="71"/>
    </row>
    <row r="277" spans="1:17" x14ac:dyDescent="0.2">
      <c r="A277" s="116"/>
      <c r="C277" s="149"/>
      <c r="D277" s="372"/>
      <c r="E277" s="264"/>
      <c r="F277" s="265"/>
      <c r="G277" s="71"/>
    </row>
    <row r="278" spans="1:17" s="24" customFormat="1" x14ac:dyDescent="0.2">
      <c r="A278" s="53" t="s">
        <v>537</v>
      </c>
      <c r="B278" s="60" t="s">
        <v>78</v>
      </c>
      <c r="C278" s="62"/>
      <c r="D278" s="352"/>
      <c r="E278" s="229"/>
      <c r="F278" s="229"/>
      <c r="G278" s="12"/>
      <c r="I278" s="3"/>
      <c r="J278" s="3"/>
      <c r="K278" s="3"/>
      <c r="L278" s="3"/>
      <c r="M278" s="3"/>
      <c r="N278" s="3"/>
      <c r="O278" s="3"/>
      <c r="P278" s="3"/>
      <c r="Q278" s="3"/>
    </row>
    <row r="279" spans="1:17" s="24" customFormat="1" ht="38.25" x14ac:dyDescent="0.2">
      <c r="A279" s="53" t="s">
        <v>538</v>
      </c>
      <c r="B279" s="57" t="s">
        <v>127</v>
      </c>
      <c r="C279" s="62" t="s">
        <v>79</v>
      </c>
      <c r="D279" s="352">
        <v>89</v>
      </c>
      <c r="E279" s="229">
        <v>0</v>
      </c>
      <c r="F279" s="229">
        <f>+D279*E279</f>
        <v>0</v>
      </c>
      <c r="G279" s="38"/>
      <c r="I279" s="3"/>
      <c r="J279" s="3"/>
      <c r="K279" s="3"/>
      <c r="L279" s="3"/>
      <c r="M279" s="3"/>
      <c r="N279" s="3"/>
      <c r="O279" s="3"/>
      <c r="P279" s="3"/>
      <c r="Q279" s="3"/>
    </row>
    <row r="280" spans="1:17" s="24" customFormat="1" x14ac:dyDescent="0.2">
      <c r="A280" s="114"/>
      <c r="B280" s="140"/>
      <c r="C280" s="198"/>
      <c r="D280" s="371"/>
      <c r="E280" s="262"/>
      <c r="F280" s="243"/>
      <c r="G280" s="38"/>
      <c r="I280" s="3"/>
      <c r="J280" s="3"/>
      <c r="K280" s="3"/>
      <c r="L280" s="3"/>
      <c r="M280" s="3"/>
      <c r="N280" s="3"/>
      <c r="O280" s="3"/>
      <c r="P280" s="3"/>
      <c r="Q280" s="3"/>
    </row>
    <row r="281" spans="1:17" s="24" customFormat="1" x14ac:dyDescent="0.2">
      <c r="A281" s="133" t="s">
        <v>539</v>
      </c>
      <c r="B281" s="140"/>
      <c r="C281" s="179" t="s">
        <v>6</v>
      </c>
      <c r="D281" s="367" t="s">
        <v>7</v>
      </c>
      <c r="E281" s="255" t="s">
        <v>8</v>
      </c>
      <c r="F281" s="256" t="s">
        <v>9</v>
      </c>
      <c r="G281" s="38"/>
      <c r="I281" s="3"/>
      <c r="J281" s="3"/>
      <c r="K281" s="3"/>
      <c r="L281" s="3"/>
      <c r="M281" s="3"/>
      <c r="N281" s="3"/>
      <c r="O281" s="3"/>
      <c r="P281" s="3"/>
      <c r="Q281" s="3"/>
    </row>
    <row r="282" spans="1:17" s="24" customFormat="1" x14ac:dyDescent="0.2">
      <c r="A282" s="178" t="s">
        <v>540</v>
      </c>
      <c r="B282" s="104" t="s">
        <v>140</v>
      </c>
      <c r="C282" s="161"/>
      <c r="D282" s="360"/>
      <c r="E282" s="270"/>
      <c r="F282" s="246"/>
      <c r="G282" s="38"/>
      <c r="I282" s="3"/>
      <c r="J282" s="3"/>
      <c r="K282" s="3"/>
      <c r="L282" s="3"/>
      <c r="M282" s="3"/>
      <c r="N282" s="3"/>
      <c r="O282" s="3"/>
      <c r="P282" s="3"/>
      <c r="Q282" s="3"/>
    </row>
    <row r="283" spans="1:17" s="24" customFormat="1" ht="25.5" x14ac:dyDescent="0.2">
      <c r="A283" s="177" t="s">
        <v>541</v>
      </c>
      <c r="B283" s="170" t="s">
        <v>0</v>
      </c>
      <c r="C283" s="166" t="s">
        <v>22</v>
      </c>
      <c r="D283" s="373">
        <v>76</v>
      </c>
      <c r="E283" s="268">
        <v>0</v>
      </c>
      <c r="F283" s="254">
        <f>+D283*E283</f>
        <v>0</v>
      </c>
      <c r="G283" s="38"/>
      <c r="I283" s="3"/>
      <c r="J283" s="3"/>
      <c r="K283" s="3"/>
      <c r="L283" s="3"/>
      <c r="M283" s="3"/>
      <c r="N283" s="3"/>
      <c r="O283" s="3"/>
      <c r="P283" s="3"/>
      <c r="Q283" s="3"/>
    </row>
    <row r="284" spans="1:17" s="24" customFormat="1" ht="25.5" x14ac:dyDescent="0.2">
      <c r="A284" s="177" t="s">
        <v>542</v>
      </c>
      <c r="B284" s="138" t="s">
        <v>1</v>
      </c>
      <c r="C284" s="62" t="s">
        <v>20</v>
      </c>
      <c r="D284" s="367">
        <f>+D283*0.3</f>
        <v>22.8</v>
      </c>
      <c r="E284" s="255">
        <v>0</v>
      </c>
      <c r="F284" s="256">
        <f>+D284*E284</f>
        <v>0</v>
      </c>
      <c r="G284" s="38"/>
      <c r="I284" s="3"/>
      <c r="J284" s="3"/>
      <c r="K284" s="3"/>
      <c r="L284" s="3"/>
      <c r="M284" s="3"/>
      <c r="N284" s="3"/>
      <c r="O284" s="3"/>
      <c r="P284" s="3"/>
      <c r="Q284" s="3"/>
    </row>
    <row r="285" spans="1:17" s="24" customFormat="1" x14ac:dyDescent="0.2">
      <c r="A285" s="156"/>
      <c r="B285" s="140"/>
      <c r="C285" s="136"/>
      <c r="D285" s="371"/>
      <c r="E285" s="262"/>
      <c r="F285" s="243"/>
      <c r="G285" s="38"/>
      <c r="I285" s="3"/>
      <c r="J285" s="3"/>
      <c r="K285" s="3"/>
      <c r="L285" s="3"/>
      <c r="M285" s="3"/>
      <c r="N285" s="3"/>
      <c r="O285" s="3"/>
      <c r="P285" s="3"/>
      <c r="Q285" s="3"/>
    </row>
    <row r="286" spans="1:17" s="24" customFormat="1" x14ac:dyDescent="0.2">
      <c r="A286" s="53" t="s">
        <v>543</v>
      </c>
      <c r="B286" s="60" t="s">
        <v>199</v>
      </c>
      <c r="C286" s="59"/>
      <c r="D286" s="352"/>
      <c r="E286" s="229"/>
      <c r="F286" s="229"/>
      <c r="G286" s="38"/>
      <c r="I286" s="3"/>
      <c r="J286" s="3"/>
      <c r="K286" s="3"/>
      <c r="L286" s="3"/>
      <c r="M286" s="3"/>
      <c r="N286" s="3"/>
      <c r="O286" s="3"/>
      <c r="P286" s="3"/>
      <c r="Q286" s="3"/>
    </row>
    <row r="287" spans="1:17" s="24" customFormat="1" ht="38.25" x14ac:dyDescent="0.2">
      <c r="A287" s="53" t="s">
        <v>544</v>
      </c>
      <c r="B287" s="57" t="s">
        <v>121</v>
      </c>
      <c r="C287" s="62" t="s">
        <v>22</v>
      </c>
      <c r="D287" s="352">
        <f>+D283</f>
        <v>76</v>
      </c>
      <c r="E287" s="229">
        <v>0</v>
      </c>
      <c r="F287" s="229">
        <f>+D287*E287</f>
        <v>0</v>
      </c>
      <c r="G287" s="38"/>
      <c r="I287" s="3"/>
      <c r="J287" s="3"/>
      <c r="K287" s="3"/>
      <c r="L287" s="3"/>
      <c r="M287" s="3"/>
      <c r="N287" s="3"/>
      <c r="O287" s="3"/>
      <c r="P287" s="3"/>
      <c r="Q287" s="3"/>
    </row>
    <row r="288" spans="1:17" s="24" customFormat="1" x14ac:dyDescent="0.2">
      <c r="A288" s="156"/>
      <c r="B288" s="2"/>
      <c r="C288" s="70"/>
      <c r="D288" s="353"/>
      <c r="E288" s="233"/>
      <c r="F288" s="234"/>
      <c r="G288" s="38"/>
      <c r="I288" s="3"/>
      <c r="J288" s="3"/>
      <c r="K288" s="3"/>
      <c r="L288" s="3"/>
      <c r="M288" s="3"/>
      <c r="N288" s="3"/>
      <c r="O288" s="3"/>
      <c r="P288" s="3"/>
      <c r="Q288" s="3"/>
    </row>
    <row r="289" spans="1:17" s="24" customFormat="1" x14ac:dyDescent="0.2">
      <c r="A289" s="53" t="s">
        <v>545</v>
      </c>
      <c r="B289" s="60" t="s">
        <v>211</v>
      </c>
      <c r="C289" s="62"/>
      <c r="D289" s="352"/>
      <c r="E289" s="229"/>
      <c r="F289" s="229"/>
      <c r="G289" s="5"/>
      <c r="I289" s="3"/>
      <c r="J289" s="3"/>
      <c r="K289" s="3"/>
      <c r="L289" s="3"/>
      <c r="M289" s="3"/>
      <c r="N289" s="3"/>
      <c r="O289" s="3"/>
      <c r="P289" s="3"/>
      <c r="Q289" s="3"/>
    </row>
    <row r="290" spans="1:17" s="24" customFormat="1" ht="38.25" x14ac:dyDescent="0.2">
      <c r="A290" s="53" t="s">
        <v>546</v>
      </c>
      <c r="B290" s="57" t="s">
        <v>2</v>
      </c>
      <c r="C290" s="62" t="s">
        <v>22</v>
      </c>
      <c r="D290" s="352">
        <f>+D283</f>
        <v>76</v>
      </c>
      <c r="E290" s="229">
        <v>0</v>
      </c>
      <c r="F290" s="229">
        <f>D290*E290</f>
        <v>0</v>
      </c>
      <c r="G290" s="5"/>
      <c r="I290" s="3"/>
      <c r="J290" s="3"/>
      <c r="K290" s="3"/>
      <c r="L290" s="3"/>
      <c r="M290" s="3"/>
      <c r="N290" s="3"/>
      <c r="O290" s="3"/>
      <c r="P290" s="3"/>
      <c r="Q290" s="3"/>
    </row>
    <row r="291" spans="1:17" s="24" customFormat="1" ht="12.75" customHeight="1" x14ac:dyDescent="0.2">
      <c r="A291" s="316" t="s">
        <v>547</v>
      </c>
      <c r="B291" s="317"/>
      <c r="C291" s="317"/>
      <c r="D291" s="374"/>
      <c r="E291" s="243"/>
      <c r="F291" s="258">
        <f>SUM(F269:F290)</f>
        <v>0</v>
      </c>
      <c r="G291" s="5"/>
      <c r="I291" s="3"/>
      <c r="J291" s="3"/>
      <c r="K291" s="3"/>
      <c r="L291" s="3"/>
      <c r="M291" s="3"/>
      <c r="N291" s="3"/>
      <c r="O291" s="3"/>
      <c r="P291" s="3"/>
      <c r="Q291" s="3"/>
    </row>
    <row r="292" spans="1:17" s="24" customFormat="1" x14ac:dyDescent="0.2">
      <c r="A292" s="171"/>
      <c r="B292" s="171"/>
      <c r="C292" s="117"/>
      <c r="D292" s="118"/>
      <c r="E292" s="225"/>
      <c r="F292" s="247"/>
      <c r="G292" s="5"/>
      <c r="I292" s="3"/>
      <c r="J292" s="3"/>
      <c r="K292" s="3"/>
      <c r="L292" s="3"/>
      <c r="M292" s="3"/>
      <c r="N292" s="3"/>
      <c r="O292" s="3"/>
      <c r="P292" s="3"/>
      <c r="Q292" s="3"/>
    </row>
    <row r="293" spans="1:17" x14ac:dyDescent="0.2">
      <c r="A293" s="160" t="s">
        <v>548</v>
      </c>
      <c r="B293" s="165"/>
      <c r="C293" s="149"/>
      <c r="D293" s="372"/>
      <c r="E293" s="264"/>
      <c r="F293" s="265"/>
    </row>
    <row r="294" spans="1:17" x14ac:dyDescent="0.2">
      <c r="A294" s="183" t="s">
        <v>551</v>
      </c>
      <c r="B294" s="60"/>
      <c r="C294" s="62" t="s">
        <v>6</v>
      </c>
      <c r="D294" s="352" t="s">
        <v>7</v>
      </c>
      <c r="E294" s="229" t="s">
        <v>8</v>
      </c>
      <c r="F294" s="229" t="s">
        <v>9</v>
      </c>
    </row>
    <row r="295" spans="1:17" x14ac:dyDescent="0.2">
      <c r="A295" s="156" t="s">
        <v>308</v>
      </c>
      <c r="B295" s="10" t="s">
        <v>142</v>
      </c>
      <c r="C295" s="70"/>
      <c r="D295" s="353"/>
      <c r="F295" s="234"/>
    </row>
    <row r="296" spans="1:17" ht="38.25" x14ac:dyDescent="0.2">
      <c r="A296" s="163" t="s">
        <v>383</v>
      </c>
      <c r="B296" s="57" t="s">
        <v>269</v>
      </c>
      <c r="C296" s="62" t="s">
        <v>31</v>
      </c>
      <c r="D296" s="352">
        <v>60</v>
      </c>
      <c r="E296" s="229">
        <v>0</v>
      </c>
      <c r="F296" s="229">
        <f>D296*E296</f>
        <v>0</v>
      </c>
    </row>
    <row r="297" spans="1:17" s="48" customFormat="1" ht="38.25" x14ac:dyDescent="0.2">
      <c r="A297" s="163" t="s">
        <v>549</v>
      </c>
      <c r="B297" s="54" t="s">
        <v>247</v>
      </c>
      <c r="C297" s="62" t="s">
        <v>13</v>
      </c>
      <c r="D297" s="361">
        <v>19</v>
      </c>
      <c r="E297" s="248">
        <v>0</v>
      </c>
      <c r="F297" s="249">
        <f>+D297*E297</f>
        <v>0</v>
      </c>
      <c r="G297" s="110"/>
      <c r="H297" s="111"/>
    </row>
    <row r="298" spans="1:17" s="48" customFormat="1" x14ac:dyDescent="0.2">
      <c r="A298" s="156"/>
      <c r="B298" s="2"/>
      <c r="C298" s="62"/>
      <c r="D298" s="353"/>
      <c r="E298" s="233"/>
      <c r="F298" s="234"/>
      <c r="G298" s="110"/>
      <c r="H298" s="111"/>
    </row>
    <row r="299" spans="1:17" s="48" customFormat="1" x14ac:dyDescent="0.2">
      <c r="A299" s="183" t="s">
        <v>554</v>
      </c>
      <c r="B299" s="60"/>
      <c r="C299" s="62" t="s">
        <v>6</v>
      </c>
      <c r="D299" s="352" t="s">
        <v>7</v>
      </c>
      <c r="E299" s="229" t="s">
        <v>8</v>
      </c>
      <c r="F299" s="229" t="s">
        <v>9</v>
      </c>
      <c r="G299" s="110"/>
      <c r="H299" s="111"/>
    </row>
    <row r="300" spans="1:17" s="48" customFormat="1" x14ac:dyDescent="0.2">
      <c r="A300" s="156" t="s">
        <v>384</v>
      </c>
      <c r="B300" s="10" t="s">
        <v>142</v>
      </c>
      <c r="C300" s="70"/>
      <c r="D300" s="353"/>
      <c r="E300" s="233"/>
      <c r="F300" s="234"/>
      <c r="G300" s="110"/>
      <c r="H300" s="111"/>
    </row>
    <row r="301" spans="1:17" s="48" customFormat="1" ht="38.25" x14ac:dyDescent="0.2">
      <c r="A301" s="163" t="s">
        <v>385</v>
      </c>
      <c r="B301" s="57" t="s">
        <v>269</v>
      </c>
      <c r="C301" s="62" t="s">
        <v>31</v>
      </c>
      <c r="D301" s="352">
        <v>63</v>
      </c>
      <c r="E301" s="229">
        <v>0</v>
      </c>
      <c r="F301" s="229">
        <f>D301*E301</f>
        <v>0</v>
      </c>
      <c r="G301" s="110"/>
      <c r="H301" s="111"/>
    </row>
    <row r="302" spans="1:17" s="48" customFormat="1" ht="38.25" x14ac:dyDescent="0.2">
      <c r="A302" s="163" t="s">
        <v>552</v>
      </c>
      <c r="B302" s="54" t="s">
        <v>247</v>
      </c>
      <c r="C302" s="62" t="s">
        <v>13</v>
      </c>
      <c r="D302" s="361">
        <v>14</v>
      </c>
      <c r="E302" s="248">
        <v>0</v>
      </c>
      <c r="F302" s="249">
        <f>+D302*E302</f>
        <v>0</v>
      </c>
      <c r="G302" s="110"/>
      <c r="H302" s="111"/>
    </row>
    <row r="303" spans="1:17" s="48" customFormat="1" x14ac:dyDescent="0.2">
      <c r="A303" s="116"/>
      <c r="B303" s="2"/>
      <c r="C303" s="113"/>
      <c r="D303" s="353"/>
      <c r="E303" s="233"/>
      <c r="F303" s="234"/>
      <c r="G303" s="110"/>
      <c r="H303" s="111"/>
    </row>
    <row r="304" spans="1:17" x14ac:dyDescent="0.2">
      <c r="A304" s="126" t="s">
        <v>550</v>
      </c>
      <c r="B304" s="57"/>
      <c r="C304" s="62" t="s">
        <v>6</v>
      </c>
      <c r="D304" s="352" t="s">
        <v>7</v>
      </c>
      <c r="E304" s="229" t="s">
        <v>8</v>
      </c>
      <c r="F304" s="229" t="s">
        <v>9</v>
      </c>
      <c r="H304" s="109"/>
    </row>
    <row r="305" spans="1:8" x14ac:dyDescent="0.2">
      <c r="A305" s="114" t="s">
        <v>384</v>
      </c>
      <c r="B305" s="115" t="s">
        <v>140</v>
      </c>
      <c r="C305" s="136"/>
      <c r="D305" s="371"/>
      <c r="E305" s="262"/>
      <c r="F305" s="243"/>
      <c r="H305" s="109"/>
    </row>
    <row r="306" spans="1:8" ht="38.25" x14ac:dyDescent="0.2">
      <c r="A306" s="53" t="s">
        <v>385</v>
      </c>
      <c r="B306" s="57" t="s">
        <v>328</v>
      </c>
      <c r="C306" s="62" t="s">
        <v>20</v>
      </c>
      <c r="D306" s="352">
        <f>0.45*62</f>
        <v>27.900000000000002</v>
      </c>
      <c r="E306" s="229">
        <v>0</v>
      </c>
      <c r="F306" s="229">
        <f>D306*E306</f>
        <v>0</v>
      </c>
      <c r="H306" s="109"/>
    </row>
    <row r="307" spans="1:8" x14ac:dyDescent="0.2">
      <c r="A307" s="53" t="s">
        <v>552</v>
      </c>
      <c r="B307" s="57" t="s">
        <v>141</v>
      </c>
      <c r="C307" s="62" t="s">
        <v>22</v>
      </c>
      <c r="D307" s="352">
        <f>60*0.5</f>
        <v>30</v>
      </c>
      <c r="E307" s="248">
        <v>0</v>
      </c>
      <c r="F307" s="229">
        <f>D307*E307</f>
        <v>0</v>
      </c>
    </row>
    <row r="308" spans="1:8" x14ac:dyDescent="0.2">
      <c r="A308" s="156"/>
      <c r="C308" s="70"/>
      <c r="D308" s="353"/>
      <c r="F308" s="234"/>
    </row>
    <row r="309" spans="1:8" x14ac:dyDescent="0.2">
      <c r="A309" s="53" t="s">
        <v>553</v>
      </c>
      <c r="B309" s="60" t="s">
        <v>142</v>
      </c>
      <c r="C309" s="62"/>
      <c r="D309" s="352"/>
      <c r="E309" s="229"/>
      <c r="F309" s="229"/>
    </row>
    <row r="310" spans="1:8" ht="38.25" x14ac:dyDescent="0.2">
      <c r="A310" s="53" t="s">
        <v>555</v>
      </c>
      <c r="B310" s="57" t="s">
        <v>257</v>
      </c>
      <c r="C310" s="62" t="s">
        <v>31</v>
      </c>
      <c r="D310" s="352">
        <v>61</v>
      </c>
      <c r="E310" s="229">
        <v>0</v>
      </c>
      <c r="F310" s="229">
        <f>D310*E310</f>
        <v>0</v>
      </c>
    </row>
    <row r="311" spans="1:8" ht="63.75" x14ac:dyDescent="0.2">
      <c r="A311" s="53" t="s">
        <v>556</v>
      </c>
      <c r="B311" s="57" t="s">
        <v>334</v>
      </c>
      <c r="C311" s="62" t="s">
        <v>31</v>
      </c>
      <c r="D311" s="352">
        <v>14</v>
      </c>
      <c r="E311" s="229">
        <v>0</v>
      </c>
      <c r="F311" s="229">
        <f>D311*E311</f>
        <v>0</v>
      </c>
    </row>
    <row r="312" spans="1:8" ht="25.5" x14ac:dyDescent="0.2">
      <c r="A312" s="53" t="s">
        <v>557</v>
      </c>
      <c r="B312" s="57" t="s">
        <v>335</v>
      </c>
      <c r="C312" s="62" t="s">
        <v>31</v>
      </c>
      <c r="D312" s="352">
        <v>14</v>
      </c>
      <c r="E312" s="229">
        <v>0</v>
      </c>
      <c r="F312" s="229">
        <f>D312*E312</f>
        <v>0</v>
      </c>
    </row>
    <row r="313" spans="1:8" x14ac:dyDescent="0.2">
      <c r="A313" s="116"/>
      <c r="C313" s="166"/>
      <c r="D313" s="375"/>
      <c r="E313" s="271"/>
      <c r="F313" s="271"/>
    </row>
    <row r="314" spans="1:8" x14ac:dyDescent="0.2">
      <c r="A314" s="53" t="s">
        <v>558</v>
      </c>
      <c r="B314" s="57" t="s">
        <v>264</v>
      </c>
      <c r="C314" s="62"/>
      <c r="D314" s="352"/>
      <c r="E314" s="229"/>
      <c r="F314" s="229"/>
    </row>
    <row r="315" spans="1:8" ht="25.5" x14ac:dyDescent="0.2">
      <c r="A315" s="53" t="s">
        <v>559</v>
      </c>
      <c r="B315" s="57" t="s">
        <v>265</v>
      </c>
      <c r="C315" s="62" t="s">
        <v>20</v>
      </c>
      <c r="D315" s="352">
        <v>17</v>
      </c>
      <c r="E315" s="229">
        <v>0</v>
      </c>
      <c r="F315" s="229">
        <f>+E315*D315</f>
        <v>0</v>
      </c>
    </row>
    <row r="316" spans="1:8" x14ac:dyDescent="0.2">
      <c r="A316" s="116"/>
      <c r="C316" s="149"/>
      <c r="D316" s="372"/>
      <c r="E316" s="264"/>
      <c r="F316" s="265"/>
    </row>
    <row r="317" spans="1:8" x14ac:dyDescent="0.2">
      <c r="A317" s="53" t="s">
        <v>560</v>
      </c>
      <c r="B317" s="60" t="s">
        <v>24</v>
      </c>
      <c r="C317" s="62"/>
      <c r="D317" s="352"/>
      <c r="E317" s="229"/>
      <c r="F317" s="229"/>
    </row>
    <row r="318" spans="1:8" ht="63.75" x14ac:dyDescent="0.2">
      <c r="A318" s="53" t="s">
        <v>561</v>
      </c>
      <c r="B318" s="167" t="s">
        <v>284</v>
      </c>
      <c r="C318" s="62" t="s">
        <v>20</v>
      </c>
      <c r="D318" s="352">
        <f>0.05*D310</f>
        <v>3.0500000000000003</v>
      </c>
      <c r="E318" s="229">
        <v>0</v>
      </c>
      <c r="F318" s="229">
        <f>D318*E318</f>
        <v>0</v>
      </c>
    </row>
    <row r="319" spans="1:8" ht="63.75" x14ac:dyDescent="0.2">
      <c r="A319" s="53" t="s">
        <v>562</v>
      </c>
      <c r="B319" s="168" t="s">
        <v>285</v>
      </c>
      <c r="C319" s="62" t="s">
        <v>20</v>
      </c>
      <c r="D319" s="352">
        <f>0.35*D310</f>
        <v>21.349999999999998</v>
      </c>
      <c r="E319" s="229">
        <v>0</v>
      </c>
      <c r="F319" s="229">
        <f>D319*E319</f>
        <v>0</v>
      </c>
    </row>
    <row r="320" spans="1:8" x14ac:dyDescent="0.2">
      <c r="A320" s="116"/>
      <c r="B320" s="218"/>
      <c r="C320" s="70"/>
      <c r="D320" s="353"/>
      <c r="F320" s="234"/>
    </row>
    <row r="321" spans="1:8" x14ac:dyDescent="0.2">
      <c r="A321" s="53" t="s">
        <v>563</v>
      </c>
      <c r="B321" s="60" t="s">
        <v>34</v>
      </c>
      <c r="C321" s="62"/>
      <c r="D321" s="352"/>
      <c r="E321" s="229"/>
      <c r="F321" s="229"/>
    </row>
    <row r="322" spans="1:8" ht="63.75" x14ac:dyDescent="0.2">
      <c r="A322" s="53" t="s">
        <v>564</v>
      </c>
      <c r="B322" s="57" t="s">
        <v>260</v>
      </c>
      <c r="C322" s="62" t="s">
        <v>13</v>
      </c>
      <c r="D322" s="352">
        <v>2</v>
      </c>
      <c r="E322" s="229">
        <v>0</v>
      </c>
      <c r="F322" s="229">
        <f>D322*E322</f>
        <v>0</v>
      </c>
      <c r="G322" s="3"/>
      <c r="H322" s="3"/>
    </row>
    <row r="323" spans="1:8" ht="25.5" x14ac:dyDescent="0.2">
      <c r="A323" s="53" t="s">
        <v>565</v>
      </c>
      <c r="B323" s="157" t="s">
        <v>329</v>
      </c>
      <c r="C323" s="62" t="s">
        <v>13</v>
      </c>
      <c r="D323" s="352">
        <v>1</v>
      </c>
      <c r="E323" s="229">
        <v>0</v>
      </c>
      <c r="F323" s="229">
        <f>D323*E323</f>
        <v>0</v>
      </c>
      <c r="G323" s="3"/>
      <c r="H323" s="3"/>
    </row>
    <row r="324" spans="1:8" ht="25.5" x14ac:dyDescent="0.2">
      <c r="A324" s="53" t="s">
        <v>566</v>
      </c>
      <c r="B324" s="57" t="s">
        <v>330</v>
      </c>
      <c r="C324" s="62" t="s">
        <v>13</v>
      </c>
      <c r="D324" s="352">
        <v>1</v>
      </c>
      <c r="E324" s="229">
        <v>0</v>
      </c>
      <c r="F324" s="229">
        <f>D324*E324</f>
        <v>0</v>
      </c>
      <c r="G324" s="3"/>
      <c r="H324" s="3"/>
    </row>
    <row r="325" spans="1:8" x14ac:dyDescent="0.2">
      <c r="A325" s="114"/>
      <c r="B325" s="157"/>
      <c r="C325" s="62"/>
      <c r="D325" s="352"/>
      <c r="E325" s="229"/>
      <c r="F325" s="229"/>
      <c r="G325" s="3"/>
      <c r="H325" s="3"/>
    </row>
    <row r="326" spans="1:8" ht="28.5" customHeight="1" x14ac:dyDescent="0.2">
      <c r="A326" s="346" t="s">
        <v>567</v>
      </c>
      <c r="B326" s="347"/>
      <c r="C326" s="62" t="s">
        <v>6</v>
      </c>
      <c r="D326" s="352" t="s">
        <v>7</v>
      </c>
      <c r="E326" s="229" t="s">
        <v>8</v>
      </c>
      <c r="F326" s="229" t="s">
        <v>9</v>
      </c>
      <c r="G326" s="3"/>
      <c r="H326" s="3"/>
    </row>
    <row r="327" spans="1:8" x14ac:dyDescent="0.2">
      <c r="A327" s="114" t="s">
        <v>386</v>
      </c>
      <c r="B327" s="115" t="s">
        <v>140</v>
      </c>
      <c r="C327" s="136"/>
      <c r="D327" s="371"/>
      <c r="E327" s="262"/>
      <c r="F327" s="243"/>
      <c r="G327" s="3"/>
      <c r="H327" s="3"/>
    </row>
    <row r="328" spans="1:8" x14ac:dyDescent="0.2">
      <c r="A328" s="53" t="s">
        <v>387</v>
      </c>
      <c r="B328" s="57" t="s">
        <v>141</v>
      </c>
      <c r="C328" s="62" t="s">
        <v>22</v>
      </c>
      <c r="D328" s="352">
        <f>53*0.5</f>
        <v>26.5</v>
      </c>
      <c r="E328" s="229">
        <v>0</v>
      </c>
      <c r="F328" s="229">
        <f>D328*E328</f>
        <v>0</v>
      </c>
      <c r="G328" s="3"/>
      <c r="H328" s="3"/>
    </row>
    <row r="329" spans="1:8" x14ac:dyDescent="0.2">
      <c r="A329" s="114"/>
      <c r="B329" s="140"/>
      <c r="C329" s="136"/>
      <c r="D329" s="371"/>
      <c r="E329" s="262"/>
      <c r="F329" s="243"/>
      <c r="G329" s="3"/>
      <c r="H329" s="3"/>
    </row>
    <row r="330" spans="1:8" x14ac:dyDescent="0.2">
      <c r="A330" s="114" t="s">
        <v>388</v>
      </c>
      <c r="B330" s="115" t="s">
        <v>142</v>
      </c>
      <c r="C330" s="136"/>
      <c r="D330" s="371"/>
      <c r="E330" s="262"/>
      <c r="F330" s="243"/>
      <c r="G330" s="3"/>
      <c r="H330" s="3"/>
    </row>
    <row r="331" spans="1:8" ht="51" x14ac:dyDescent="0.2">
      <c r="A331" s="137" t="s">
        <v>389</v>
      </c>
      <c r="B331" s="57" t="s">
        <v>270</v>
      </c>
      <c r="C331" s="62" t="s">
        <v>31</v>
      </c>
      <c r="D331" s="352">
        <v>53</v>
      </c>
      <c r="E331" s="229">
        <v>0</v>
      </c>
      <c r="F331" s="229">
        <f>D331*E331</f>
        <v>0</v>
      </c>
      <c r="G331" s="3"/>
      <c r="H331" s="3"/>
    </row>
    <row r="332" spans="1:8" x14ac:dyDescent="0.2">
      <c r="A332" s="178"/>
      <c r="B332" s="219"/>
      <c r="C332" s="217"/>
      <c r="D332" s="360"/>
      <c r="F332" s="272"/>
      <c r="G332" s="3"/>
      <c r="H332" s="3"/>
    </row>
    <row r="333" spans="1:8" x14ac:dyDescent="0.2">
      <c r="A333" s="114" t="s">
        <v>568</v>
      </c>
      <c r="B333" s="115" t="s">
        <v>24</v>
      </c>
      <c r="C333" s="136"/>
      <c r="D333" s="371"/>
      <c r="E333" s="262"/>
      <c r="F333" s="243"/>
      <c r="G333" s="3"/>
      <c r="H333" s="3"/>
    </row>
    <row r="334" spans="1:8" ht="63.75" x14ac:dyDescent="0.2">
      <c r="A334" s="53" t="s">
        <v>569</v>
      </c>
      <c r="B334" s="167" t="s">
        <v>271</v>
      </c>
      <c r="C334" s="62" t="s">
        <v>20</v>
      </c>
      <c r="D334" s="352">
        <f>0.0543*D331</f>
        <v>2.8778999999999999</v>
      </c>
      <c r="E334" s="229">
        <v>0</v>
      </c>
      <c r="F334" s="229">
        <f>D334*E334</f>
        <v>0</v>
      </c>
      <c r="G334" s="3"/>
      <c r="H334" s="3"/>
    </row>
    <row r="335" spans="1:8" ht="63.75" x14ac:dyDescent="0.2">
      <c r="A335" s="53" t="s">
        <v>570</v>
      </c>
      <c r="B335" s="168" t="s">
        <v>272</v>
      </c>
      <c r="C335" s="62" t="s">
        <v>20</v>
      </c>
      <c r="D335" s="352">
        <f>0.35*D331</f>
        <v>18.549999999999997</v>
      </c>
      <c r="E335" s="229">
        <v>0</v>
      </c>
      <c r="F335" s="229">
        <f>D335*E335</f>
        <v>0</v>
      </c>
      <c r="G335" s="3"/>
      <c r="H335" s="3"/>
    </row>
    <row r="336" spans="1:8" x14ac:dyDescent="0.2">
      <c r="A336" s="116"/>
      <c r="B336" s="218"/>
      <c r="C336" s="70"/>
      <c r="D336" s="353"/>
      <c r="F336" s="234"/>
      <c r="G336" s="3"/>
      <c r="H336" s="3"/>
    </row>
    <row r="337" spans="1:8" x14ac:dyDescent="0.2">
      <c r="A337" s="53" t="s">
        <v>571</v>
      </c>
      <c r="B337" s="60" t="s">
        <v>34</v>
      </c>
      <c r="C337" s="62"/>
      <c r="D337" s="352"/>
      <c r="E337" s="229"/>
      <c r="F337" s="229"/>
      <c r="G337" s="3"/>
      <c r="H337" s="3"/>
    </row>
    <row r="338" spans="1:8" ht="25.5" x14ac:dyDescent="0.2">
      <c r="A338" s="53" t="s">
        <v>572</v>
      </c>
      <c r="B338" s="57" t="s">
        <v>331</v>
      </c>
      <c r="C338" s="62" t="s">
        <v>13</v>
      </c>
      <c r="D338" s="352">
        <v>1</v>
      </c>
      <c r="E338" s="229">
        <v>0</v>
      </c>
      <c r="F338" s="229">
        <f>D338*E338</f>
        <v>0</v>
      </c>
      <c r="G338" s="3"/>
      <c r="H338" s="3"/>
    </row>
    <row r="339" spans="1:8" ht="25.5" x14ac:dyDescent="0.2">
      <c r="A339" s="53" t="s">
        <v>573</v>
      </c>
      <c r="B339" s="57" t="s">
        <v>330</v>
      </c>
      <c r="C339" s="62" t="s">
        <v>13</v>
      </c>
      <c r="D339" s="352">
        <v>1</v>
      </c>
      <c r="E339" s="229">
        <v>0</v>
      </c>
      <c r="F339" s="229">
        <f>D339*E339</f>
        <v>0</v>
      </c>
      <c r="G339" s="3"/>
      <c r="H339" s="3"/>
    </row>
    <row r="340" spans="1:8" x14ac:dyDescent="0.2">
      <c r="A340" s="114"/>
      <c r="B340" s="57"/>
      <c r="C340" s="136"/>
      <c r="D340" s="371"/>
      <c r="E340" s="262"/>
      <c r="F340" s="243"/>
      <c r="G340" s="3"/>
      <c r="H340" s="3"/>
    </row>
    <row r="341" spans="1:8" x14ac:dyDescent="0.2">
      <c r="A341" s="126" t="s">
        <v>574</v>
      </c>
      <c r="B341" s="60"/>
      <c r="C341" s="173" t="s">
        <v>6</v>
      </c>
      <c r="D341" s="367" t="s">
        <v>7</v>
      </c>
      <c r="E341" s="255" t="s">
        <v>8</v>
      </c>
      <c r="F341" s="256" t="s">
        <v>9</v>
      </c>
    </row>
    <row r="342" spans="1:8" x14ac:dyDescent="0.2">
      <c r="A342" s="156" t="s">
        <v>390</v>
      </c>
      <c r="B342" s="10" t="s">
        <v>140</v>
      </c>
      <c r="C342" s="70"/>
      <c r="D342" s="353"/>
      <c r="F342" s="234"/>
    </row>
    <row r="343" spans="1:8" ht="25.5" x14ac:dyDescent="0.2">
      <c r="A343" s="53" t="s">
        <v>391</v>
      </c>
      <c r="B343" s="57" t="s">
        <v>221</v>
      </c>
      <c r="C343" s="62" t="s">
        <v>22</v>
      </c>
      <c r="D343" s="352">
        <f>0.6*D346</f>
        <v>36.69</v>
      </c>
      <c r="E343" s="248">
        <v>0</v>
      </c>
      <c r="F343" s="229">
        <f>D343*E343</f>
        <v>0</v>
      </c>
    </row>
    <row r="344" spans="1:8" x14ac:dyDescent="0.2">
      <c r="A344" s="156"/>
      <c r="C344" s="70"/>
      <c r="D344" s="353"/>
      <c r="F344" s="234"/>
    </row>
    <row r="345" spans="1:8" ht="12" customHeight="1" x14ac:dyDescent="0.2">
      <c r="A345" s="53" t="s">
        <v>392</v>
      </c>
      <c r="B345" s="60" t="s">
        <v>143</v>
      </c>
      <c r="C345" s="62"/>
      <c r="D345" s="352"/>
      <c r="E345" s="229"/>
      <c r="F345" s="229"/>
    </row>
    <row r="346" spans="1:8" ht="63.75" x14ac:dyDescent="0.2">
      <c r="A346" s="53" t="s">
        <v>393</v>
      </c>
      <c r="B346" s="57" t="s">
        <v>262</v>
      </c>
      <c r="C346" s="62" t="s">
        <v>31</v>
      </c>
      <c r="D346" s="352">
        <v>61.15</v>
      </c>
      <c r="E346" s="229">
        <v>0</v>
      </c>
      <c r="F346" s="229">
        <f>D346*E346</f>
        <v>0</v>
      </c>
    </row>
    <row r="347" spans="1:8" ht="25.5" x14ac:dyDescent="0.2">
      <c r="A347" s="53" t="s">
        <v>575</v>
      </c>
      <c r="B347" s="57" t="s">
        <v>335</v>
      </c>
      <c r="C347" s="62" t="s">
        <v>31</v>
      </c>
      <c r="D347" s="352">
        <v>43</v>
      </c>
      <c r="E347" s="229">
        <v>0</v>
      </c>
      <c r="F347" s="229">
        <f>D347*E347</f>
        <v>0</v>
      </c>
    </row>
    <row r="348" spans="1:8" ht="63.75" x14ac:dyDescent="0.2">
      <c r="A348" s="53" t="s">
        <v>576</v>
      </c>
      <c r="B348" s="57" t="s">
        <v>286</v>
      </c>
      <c r="C348" s="62" t="s">
        <v>31</v>
      </c>
      <c r="D348" s="352">
        <v>8.4</v>
      </c>
      <c r="E348" s="229">
        <v>0</v>
      </c>
      <c r="F348" s="229">
        <f>D348*E348</f>
        <v>0</v>
      </c>
    </row>
    <row r="349" spans="1:8" x14ac:dyDescent="0.2">
      <c r="A349" s="156"/>
      <c r="C349" s="70"/>
      <c r="D349" s="353"/>
      <c r="F349" s="234"/>
    </row>
    <row r="350" spans="1:8" x14ac:dyDescent="0.2">
      <c r="A350" s="53" t="s">
        <v>394</v>
      </c>
      <c r="B350" s="60" t="s">
        <v>34</v>
      </c>
      <c r="C350" s="62"/>
      <c r="D350" s="352"/>
      <c r="E350" s="229"/>
      <c r="F350" s="229"/>
    </row>
    <row r="351" spans="1:8" ht="76.5" x14ac:dyDescent="0.2">
      <c r="A351" s="53" t="s">
        <v>395</v>
      </c>
      <c r="B351" s="57" t="s">
        <v>333</v>
      </c>
      <c r="C351" s="62" t="s">
        <v>13</v>
      </c>
      <c r="D351" s="352">
        <v>3</v>
      </c>
      <c r="E351" s="229">
        <v>0</v>
      </c>
      <c r="F351" s="229">
        <f>D351*E351</f>
        <v>0</v>
      </c>
    </row>
    <row r="352" spans="1:8" ht="89.25" x14ac:dyDescent="0.2">
      <c r="A352" s="53" t="s">
        <v>577</v>
      </c>
      <c r="B352" s="169" t="s">
        <v>332</v>
      </c>
      <c r="C352" s="135" t="s">
        <v>13</v>
      </c>
      <c r="D352" s="357">
        <v>2</v>
      </c>
      <c r="E352" s="240">
        <v>0</v>
      </c>
      <c r="F352" s="240">
        <f>D352*E352</f>
        <v>0</v>
      </c>
    </row>
    <row r="353" spans="1:6" ht="63.75" x14ac:dyDescent="0.2">
      <c r="A353" s="53" t="s">
        <v>578</v>
      </c>
      <c r="B353" s="2" t="s">
        <v>263</v>
      </c>
      <c r="C353" s="135" t="s">
        <v>13</v>
      </c>
      <c r="D353" s="357">
        <v>3</v>
      </c>
      <c r="E353" s="240">
        <v>0</v>
      </c>
      <c r="F353" s="240">
        <f>D353*E353</f>
        <v>0</v>
      </c>
    </row>
    <row r="354" spans="1:6" x14ac:dyDescent="0.2">
      <c r="A354" s="53" t="s">
        <v>579</v>
      </c>
      <c r="B354" s="182" t="s">
        <v>144</v>
      </c>
      <c r="C354" s="62" t="s">
        <v>31</v>
      </c>
      <c r="D354" s="376">
        <f>+D346+D348</f>
        <v>69.55</v>
      </c>
      <c r="E354" s="273">
        <v>0</v>
      </c>
      <c r="F354" s="273">
        <f>D354*E354</f>
        <v>0</v>
      </c>
    </row>
    <row r="355" spans="1:6" x14ac:dyDescent="0.2">
      <c r="A355" s="53" t="s">
        <v>580</v>
      </c>
      <c r="B355" s="57" t="s">
        <v>46</v>
      </c>
      <c r="C355" s="62" t="s">
        <v>31</v>
      </c>
      <c r="D355" s="376">
        <v>69.55</v>
      </c>
      <c r="E355" s="229">
        <v>0</v>
      </c>
      <c r="F355" s="229">
        <f>D355*E355</f>
        <v>0</v>
      </c>
    </row>
    <row r="356" spans="1:6" x14ac:dyDescent="0.2">
      <c r="A356" s="316" t="s">
        <v>581</v>
      </c>
      <c r="B356" s="317"/>
      <c r="C356" s="136"/>
      <c r="D356" s="366"/>
      <c r="E356" s="257"/>
      <c r="F356" s="258">
        <f>SUM(F296:F355)</f>
        <v>0</v>
      </c>
    </row>
    <row r="357" spans="1:6" x14ac:dyDescent="0.2">
      <c r="A357" s="180"/>
      <c r="B357" s="151"/>
      <c r="C357" s="117"/>
      <c r="D357" s="118"/>
      <c r="E357" s="225"/>
      <c r="F357" s="247"/>
    </row>
    <row r="358" spans="1:6" x14ac:dyDescent="0.2">
      <c r="A358" s="344" t="s">
        <v>582</v>
      </c>
      <c r="B358" s="345"/>
      <c r="C358" s="173" t="s">
        <v>6</v>
      </c>
      <c r="D358" s="367" t="s">
        <v>7</v>
      </c>
      <c r="E358" s="255" t="s">
        <v>8</v>
      </c>
      <c r="F358" s="256" t="s">
        <v>9</v>
      </c>
    </row>
    <row r="359" spans="1:6" ht="38.25" x14ac:dyDescent="0.2">
      <c r="A359" s="53" t="s">
        <v>583</v>
      </c>
      <c r="B359" s="196" t="s">
        <v>338</v>
      </c>
      <c r="C359" s="62" t="s">
        <v>31</v>
      </c>
      <c r="D359" s="352">
        <v>8</v>
      </c>
      <c r="E359" s="229">
        <v>0</v>
      </c>
      <c r="F359" s="229">
        <f>D359*E359</f>
        <v>0</v>
      </c>
    </row>
    <row r="360" spans="1:6" ht="12.75" customHeight="1" x14ac:dyDescent="0.2">
      <c r="A360" s="316" t="s">
        <v>584</v>
      </c>
      <c r="B360" s="317"/>
      <c r="C360" s="191"/>
      <c r="D360" s="377"/>
      <c r="E360" s="283"/>
      <c r="F360" s="274">
        <f>+F359</f>
        <v>0</v>
      </c>
    </row>
    <row r="361" spans="1:6" x14ac:dyDescent="0.2">
      <c r="A361" s="53"/>
      <c r="B361" s="192"/>
      <c r="C361" s="136"/>
      <c r="D361" s="371"/>
      <c r="E361" s="262"/>
      <c r="F361" s="243"/>
    </row>
    <row r="362" spans="1:6" x14ac:dyDescent="0.2">
      <c r="A362" s="147" t="s">
        <v>585</v>
      </c>
      <c r="B362" s="133"/>
      <c r="C362" s="173" t="s">
        <v>6</v>
      </c>
      <c r="D362" s="367" t="s">
        <v>7</v>
      </c>
      <c r="E362" s="255" t="s">
        <v>8</v>
      </c>
      <c r="F362" s="256" t="s">
        <v>9</v>
      </c>
    </row>
    <row r="363" spans="1:6" x14ac:dyDescent="0.2">
      <c r="A363" s="147" t="s">
        <v>586</v>
      </c>
      <c r="B363" s="133"/>
      <c r="C363" s="147"/>
      <c r="D363" s="378"/>
      <c r="E363" s="284"/>
      <c r="F363" s="275"/>
    </row>
    <row r="364" spans="1:6" x14ac:dyDescent="0.2">
      <c r="A364" s="53" t="s">
        <v>587</v>
      </c>
      <c r="B364" s="325" t="s">
        <v>340</v>
      </c>
      <c r="C364" s="326"/>
      <c r="D364" s="326"/>
      <c r="E364" s="326"/>
      <c r="F364" s="327"/>
    </row>
    <row r="365" spans="1:6" ht="51" x14ac:dyDescent="0.2">
      <c r="A365" s="53" t="s">
        <v>588</v>
      </c>
      <c r="B365" s="184" t="s">
        <v>341</v>
      </c>
      <c r="C365" s="193" t="s">
        <v>339</v>
      </c>
      <c r="D365" s="379">
        <v>1</v>
      </c>
      <c r="E365" s="285">
        <v>0</v>
      </c>
      <c r="F365" s="229">
        <f>D365*E365</f>
        <v>0</v>
      </c>
    </row>
    <row r="366" spans="1:6" x14ac:dyDescent="0.2">
      <c r="A366" s="53"/>
      <c r="B366" s="220"/>
      <c r="C366" s="221"/>
      <c r="D366" s="380"/>
      <c r="E366" s="286"/>
      <c r="F366" s="243"/>
    </row>
    <row r="367" spans="1:6" x14ac:dyDescent="0.2">
      <c r="A367" s="53" t="s">
        <v>589</v>
      </c>
      <c r="B367" s="325" t="s">
        <v>342</v>
      </c>
      <c r="C367" s="326"/>
      <c r="D367" s="326"/>
      <c r="E367" s="326"/>
      <c r="F367" s="327"/>
    </row>
    <row r="368" spans="1:6" ht="76.5" x14ac:dyDescent="0.2">
      <c r="A368" s="53" t="s">
        <v>591</v>
      </c>
      <c r="B368" s="184" t="s">
        <v>343</v>
      </c>
      <c r="C368" s="62" t="s">
        <v>31</v>
      </c>
      <c r="D368" s="352">
        <v>67.58</v>
      </c>
      <c r="E368" s="285">
        <v>0</v>
      </c>
      <c r="F368" s="229">
        <f>D368*E368</f>
        <v>0</v>
      </c>
    </row>
    <row r="369" spans="1:6" x14ac:dyDescent="0.2">
      <c r="A369" s="53"/>
      <c r="B369" s="220"/>
      <c r="C369" s="136"/>
      <c r="D369" s="371"/>
      <c r="E369" s="286"/>
      <c r="F369" s="243"/>
    </row>
    <row r="370" spans="1:6" x14ac:dyDescent="0.2">
      <c r="A370" s="53" t="s">
        <v>590</v>
      </c>
      <c r="B370" s="325" t="s">
        <v>345</v>
      </c>
      <c r="C370" s="326"/>
      <c r="D370" s="326"/>
      <c r="E370" s="326"/>
      <c r="F370" s="327"/>
    </row>
    <row r="371" spans="1:6" x14ac:dyDescent="0.2">
      <c r="A371" s="53" t="s">
        <v>592</v>
      </c>
      <c r="B371" s="184" t="s">
        <v>344</v>
      </c>
      <c r="C371" s="62" t="s">
        <v>31</v>
      </c>
      <c r="D371" s="352">
        <v>11</v>
      </c>
      <c r="E371" s="285">
        <v>0</v>
      </c>
      <c r="F371" s="229">
        <f>D371*E371</f>
        <v>0</v>
      </c>
    </row>
    <row r="372" spans="1:6" x14ac:dyDescent="0.2">
      <c r="A372" s="53"/>
      <c r="B372" s="220"/>
      <c r="C372" s="136"/>
      <c r="D372" s="371"/>
      <c r="E372" s="262"/>
      <c r="F372" s="243"/>
    </row>
    <row r="373" spans="1:6" x14ac:dyDescent="0.2">
      <c r="A373" s="53" t="s">
        <v>593</v>
      </c>
      <c r="B373" s="325" t="s">
        <v>34</v>
      </c>
      <c r="C373" s="326"/>
      <c r="D373" s="326"/>
      <c r="E373" s="326"/>
      <c r="F373" s="327"/>
    </row>
    <row r="374" spans="1:6" ht="25.5" x14ac:dyDescent="0.2">
      <c r="A374" s="53" t="s">
        <v>594</v>
      </c>
      <c r="B374" s="184" t="s">
        <v>346</v>
      </c>
      <c r="C374" s="194" t="s">
        <v>339</v>
      </c>
      <c r="D374" s="381">
        <v>1</v>
      </c>
      <c r="E374" s="285">
        <v>0</v>
      </c>
      <c r="F374" s="229">
        <f>D374*E374</f>
        <v>0</v>
      </c>
    </row>
    <row r="375" spans="1:6" x14ac:dyDescent="0.2">
      <c r="A375" s="180"/>
      <c r="B375" s="151"/>
      <c r="C375" s="117"/>
      <c r="D375" s="118"/>
      <c r="E375" s="225"/>
      <c r="F375" s="247"/>
    </row>
    <row r="376" spans="1:6" x14ac:dyDescent="0.2">
      <c r="A376" s="324" t="s">
        <v>595</v>
      </c>
      <c r="B376" s="324"/>
      <c r="C376" s="197" t="s">
        <v>6</v>
      </c>
      <c r="D376" s="367" t="s">
        <v>7</v>
      </c>
      <c r="E376" s="255" t="s">
        <v>8</v>
      </c>
      <c r="F376" s="256" t="s">
        <v>9</v>
      </c>
    </row>
    <row r="377" spans="1:6" x14ac:dyDescent="0.2">
      <c r="A377" s="53" t="s">
        <v>596</v>
      </c>
      <c r="B377" s="325" t="s">
        <v>347</v>
      </c>
      <c r="C377" s="326"/>
      <c r="D377" s="326"/>
      <c r="E377" s="326"/>
      <c r="F377" s="326"/>
    </row>
    <row r="378" spans="1:6" ht="38.25" x14ac:dyDescent="0.2">
      <c r="A378" s="53" t="s">
        <v>597</v>
      </c>
      <c r="B378" s="184" t="s">
        <v>348</v>
      </c>
      <c r="C378" s="195" t="s">
        <v>13</v>
      </c>
      <c r="D378" s="382">
        <v>1</v>
      </c>
      <c r="E378" s="285">
        <v>0</v>
      </c>
      <c r="F378" s="229">
        <f>D378*E378</f>
        <v>0</v>
      </c>
    </row>
    <row r="379" spans="1:6" x14ac:dyDescent="0.2">
      <c r="A379" s="180"/>
      <c r="B379" s="151"/>
      <c r="C379" s="117"/>
      <c r="D379" s="118"/>
      <c r="E379" s="225"/>
      <c r="F379" s="247"/>
    </row>
    <row r="380" spans="1:6" x14ac:dyDescent="0.2">
      <c r="A380" s="322" t="s">
        <v>598</v>
      </c>
      <c r="B380" s="328"/>
      <c r="C380" s="173" t="s">
        <v>6</v>
      </c>
      <c r="D380" s="367" t="s">
        <v>7</v>
      </c>
      <c r="E380" s="255" t="s">
        <v>8</v>
      </c>
      <c r="F380" s="256" t="s">
        <v>9</v>
      </c>
    </row>
    <row r="381" spans="1:6" x14ac:dyDescent="0.2">
      <c r="A381" s="185" t="s">
        <v>599</v>
      </c>
      <c r="B381" s="325" t="s">
        <v>350</v>
      </c>
      <c r="C381" s="326"/>
      <c r="D381" s="326"/>
      <c r="E381" s="326"/>
      <c r="F381" s="326"/>
    </row>
    <row r="382" spans="1:6" x14ac:dyDescent="0.2">
      <c r="A382" s="53" t="s">
        <v>600</v>
      </c>
      <c r="B382" s="184" t="s">
        <v>351</v>
      </c>
      <c r="C382" s="188" t="s">
        <v>13</v>
      </c>
      <c r="D382" s="354">
        <v>1</v>
      </c>
      <c r="E382" s="285">
        <v>0</v>
      </c>
      <c r="F382" s="229">
        <f>D382*E382</f>
        <v>0</v>
      </c>
    </row>
    <row r="383" spans="1:6" x14ac:dyDescent="0.2">
      <c r="A383" s="180"/>
      <c r="B383" s="151"/>
      <c r="C383" s="117"/>
      <c r="D383" s="118"/>
      <c r="E383" s="225"/>
      <c r="F383" s="247"/>
    </row>
    <row r="384" spans="1:6" x14ac:dyDescent="0.2">
      <c r="A384" s="53" t="s">
        <v>601</v>
      </c>
      <c r="B384" s="325" t="s">
        <v>353</v>
      </c>
      <c r="C384" s="326"/>
      <c r="D384" s="326"/>
      <c r="E384" s="326"/>
      <c r="F384" s="326"/>
    </row>
    <row r="385" spans="1:6" x14ac:dyDescent="0.2">
      <c r="A385" s="53" t="s">
        <v>602</v>
      </c>
      <c r="B385" s="184" t="s">
        <v>354</v>
      </c>
      <c r="C385" s="188" t="s">
        <v>13</v>
      </c>
      <c r="D385" s="354">
        <v>1</v>
      </c>
      <c r="E385" s="285">
        <v>0</v>
      </c>
      <c r="F385" s="229">
        <f>D385*E385</f>
        <v>0</v>
      </c>
    </row>
    <row r="386" spans="1:6" x14ac:dyDescent="0.2">
      <c r="A386" s="180"/>
      <c r="B386" s="151"/>
      <c r="C386" s="117"/>
      <c r="D386" s="118"/>
      <c r="E386" s="225"/>
      <c r="F386" s="247"/>
    </row>
    <row r="387" spans="1:6" x14ac:dyDescent="0.2">
      <c r="A387" s="322" t="s">
        <v>603</v>
      </c>
      <c r="B387" s="323"/>
      <c r="C387" s="173" t="s">
        <v>6</v>
      </c>
      <c r="D387" s="367" t="s">
        <v>7</v>
      </c>
      <c r="E387" s="255" t="s">
        <v>8</v>
      </c>
      <c r="F387" s="256" t="s">
        <v>9</v>
      </c>
    </row>
    <row r="388" spans="1:6" x14ac:dyDescent="0.2">
      <c r="A388" s="141" t="s">
        <v>604</v>
      </c>
      <c r="B388" s="325" t="s">
        <v>355</v>
      </c>
      <c r="C388" s="326"/>
      <c r="D388" s="326"/>
      <c r="E388" s="326"/>
      <c r="F388" s="327"/>
    </row>
    <row r="389" spans="1:6" x14ac:dyDescent="0.2">
      <c r="A389" s="141" t="s">
        <v>605</v>
      </c>
      <c r="B389" s="184" t="s">
        <v>356</v>
      </c>
      <c r="C389" s="188" t="s">
        <v>20</v>
      </c>
      <c r="D389" s="354">
        <v>17</v>
      </c>
      <c r="E389" s="285">
        <v>0</v>
      </c>
      <c r="F389" s="229">
        <f>D389*E389</f>
        <v>0</v>
      </c>
    </row>
    <row r="390" spans="1:6" x14ac:dyDescent="0.2">
      <c r="A390" s="186"/>
      <c r="B390" s="151"/>
      <c r="C390" s="117"/>
      <c r="D390" s="118"/>
      <c r="E390" s="225"/>
      <c r="F390" s="247"/>
    </row>
    <row r="391" spans="1:6" x14ac:dyDescent="0.2">
      <c r="A391" s="141" t="s">
        <v>606</v>
      </c>
      <c r="B391" s="325" t="s">
        <v>357</v>
      </c>
      <c r="C391" s="326"/>
      <c r="D391" s="326"/>
      <c r="E391" s="326"/>
      <c r="F391" s="327"/>
    </row>
    <row r="392" spans="1:6" ht="25.5" x14ac:dyDescent="0.2">
      <c r="A392" s="141" t="s">
        <v>607</v>
      </c>
      <c r="B392" s="184" t="s">
        <v>358</v>
      </c>
      <c r="C392" s="188" t="s">
        <v>20</v>
      </c>
      <c r="D392" s="354">
        <v>76</v>
      </c>
      <c r="E392" s="285">
        <v>0</v>
      </c>
      <c r="F392" s="229">
        <f>D392*E392</f>
        <v>0</v>
      </c>
    </row>
    <row r="393" spans="1:6" x14ac:dyDescent="0.2">
      <c r="A393" s="186"/>
      <c r="B393" s="151"/>
      <c r="C393" s="117"/>
      <c r="D393" s="118"/>
      <c r="E393" s="225"/>
      <c r="F393" s="247"/>
    </row>
    <row r="394" spans="1:6" x14ac:dyDescent="0.2">
      <c r="A394" s="141" t="s">
        <v>608</v>
      </c>
      <c r="B394" s="325" t="s">
        <v>359</v>
      </c>
      <c r="C394" s="326"/>
      <c r="D394" s="326"/>
      <c r="E394" s="326"/>
      <c r="F394" s="327"/>
    </row>
    <row r="395" spans="1:6" x14ac:dyDescent="0.2">
      <c r="A395" s="141" t="s">
        <v>609</v>
      </c>
      <c r="B395" s="184" t="s">
        <v>360</v>
      </c>
      <c r="C395" s="188" t="s">
        <v>22</v>
      </c>
      <c r="D395" s="354">
        <v>58</v>
      </c>
      <c r="E395" s="285">
        <v>0</v>
      </c>
      <c r="F395" s="229">
        <f>D395*E395</f>
        <v>0</v>
      </c>
    </row>
    <row r="396" spans="1:6" x14ac:dyDescent="0.2">
      <c r="A396" s="186"/>
      <c r="B396" s="151"/>
      <c r="C396" s="117"/>
      <c r="D396" s="118"/>
      <c r="E396" s="225"/>
      <c r="F396" s="247"/>
    </row>
    <row r="397" spans="1:6" x14ac:dyDescent="0.2">
      <c r="A397" s="141" t="s">
        <v>610</v>
      </c>
      <c r="B397" s="325" t="s">
        <v>361</v>
      </c>
      <c r="C397" s="326"/>
      <c r="D397" s="326"/>
      <c r="E397" s="326"/>
      <c r="F397" s="327"/>
    </row>
    <row r="398" spans="1:6" ht="25.5" x14ac:dyDescent="0.2">
      <c r="A398" s="141" t="s">
        <v>611</v>
      </c>
      <c r="B398" s="184" t="s">
        <v>362</v>
      </c>
      <c r="C398" s="188" t="s">
        <v>20</v>
      </c>
      <c r="D398" s="354">
        <v>9</v>
      </c>
      <c r="E398" s="285">
        <v>0</v>
      </c>
      <c r="F398" s="229">
        <f>D398*E398</f>
        <v>0</v>
      </c>
    </row>
    <row r="399" spans="1:6" x14ac:dyDescent="0.2">
      <c r="A399" s="180"/>
      <c r="B399" s="151"/>
      <c r="C399" s="117"/>
      <c r="D399" s="118"/>
      <c r="E399" s="225"/>
      <c r="F399" s="247"/>
    </row>
    <row r="400" spans="1:6" x14ac:dyDescent="0.2">
      <c r="A400" s="141" t="s">
        <v>612</v>
      </c>
      <c r="B400" s="325" t="s">
        <v>363</v>
      </c>
      <c r="C400" s="326"/>
      <c r="D400" s="326"/>
      <c r="E400" s="326"/>
      <c r="F400" s="327"/>
    </row>
    <row r="401" spans="1:6" x14ac:dyDescent="0.2">
      <c r="A401" s="141" t="s">
        <v>613</v>
      </c>
      <c r="B401" s="184" t="s">
        <v>364</v>
      </c>
      <c r="C401" s="188" t="s">
        <v>20</v>
      </c>
      <c r="D401" s="354">
        <v>76</v>
      </c>
      <c r="E401" s="285">
        <v>0</v>
      </c>
      <c r="F401" s="229">
        <f>D401*E401</f>
        <v>0</v>
      </c>
    </row>
    <row r="402" spans="1:6" x14ac:dyDescent="0.2">
      <c r="A402" s="141" t="s">
        <v>614</v>
      </c>
      <c r="B402" s="189" t="s">
        <v>365</v>
      </c>
      <c r="C402" s="188" t="s">
        <v>20</v>
      </c>
      <c r="D402" s="354">
        <v>17</v>
      </c>
      <c r="E402" s="285">
        <v>0</v>
      </c>
      <c r="F402" s="229">
        <f>D402*E402</f>
        <v>0</v>
      </c>
    </row>
    <row r="403" spans="1:6" x14ac:dyDescent="0.2">
      <c r="A403" s="180"/>
      <c r="B403" s="151"/>
      <c r="C403" s="117"/>
      <c r="D403" s="118"/>
      <c r="E403" s="225"/>
      <c r="F403" s="247"/>
    </row>
    <row r="404" spans="1:6" x14ac:dyDescent="0.2">
      <c r="A404" s="141" t="s">
        <v>615</v>
      </c>
      <c r="B404" s="325" t="s">
        <v>367</v>
      </c>
      <c r="C404" s="326"/>
      <c r="D404" s="326"/>
      <c r="E404" s="326"/>
      <c r="F404" s="327"/>
    </row>
    <row r="405" spans="1:6" ht="25.5" x14ac:dyDescent="0.2">
      <c r="A405" s="141" t="s">
        <v>616</v>
      </c>
      <c r="B405" s="184" t="s">
        <v>368</v>
      </c>
      <c r="C405" s="188" t="s">
        <v>31</v>
      </c>
      <c r="D405" s="354">
        <v>70</v>
      </c>
      <c r="E405" s="285">
        <v>0</v>
      </c>
      <c r="F405" s="229">
        <f>D405*E405</f>
        <v>0</v>
      </c>
    </row>
    <row r="406" spans="1:6" x14ac:dyDescent="0.2">
      <c r="A406" s="180"/>
      <c r="B406" s="151"/>
      <c r="C406" s="117"/>
      <c r="D406" s="118"/>
      <c r="E406" s="225"/>
      <c r="F406" s="247"/>
    </row>
    <row r="407" spans="1:6" x14ac:dyDescent="0.2">
      <c r="A407" s="190" t="s">
        <v>617</v>
      </c>
      <c r="B407" s="325" t="s">
        <v>369</v>
      </c>
      <c r="C407" s="326"/>
      <c r="D407" s="326"/>
      <c r="E407" s="326"/>
      <c r="F407" s="327"/>
    </row>
    <row r="408" spans="1:6" x14ac:dyDescent="0.2">
      <c r="A408" s="141" t="s">
        <v>618</v>
      </c>
      <c r="B408" s="184" t="s">
        <v>370</v>
      </c>
      <c r="C408" s="188" t="s">
        <v>20</v>
      </c>
      <c r="D408" s="354">
        <v>17</v>
      </c>
      <c r="E408" s="285">
        <v>0</v>
      </c>
      <c r="F408" s="229">
        <f>D408*E408</f>
        <v>0</v>
      </c>
    </row>
    <row r="409" spans="1:6" x14ac:dyDescent="0.2">
      <c r="A409" s="180"/>
      <c r="B409" s="151"/>
      <c r="C409" s="117"/>
      <c r="D409" s="118"/>
      <c r="E409" s="225"/>
      <c r="F409" s="247"/>
    </row>
    <row r="410" spans="1:6" x14ac:dyDescent="0.2">
      <c r="A410" s="324" t="s">
        <v>619</v>
      </c>
      <c r="B410" s="324"/>
      <c r="C410" s="197" t="s">
        <v>6</v>
      </c>
      <c r="D410" s="367" t="s">
        <v>7</v>
      </c>
      <c r="E410" s="255" t="s">
        <v>8</v>
      </c>
      <c r="F410" s="256" t="s">
        <v>9</v>
      </c>
    </row>
    <row r="411" spans="1:6" x14ac:dyDescent="0.2">
      <c r="A411" s="141" t="s">
        <v>620</v>
      </c>
      <c r="B411" s="184" t="s">
        <v>366</v>
      </c>
      <c r="C411" s="188" t="s">
        <v>420</v>
      </c>
      <c r="D411" s="354">
        <v>1</v>
      </c>
      <c r="E411" s="285">
        <v>0</v>
      </c>
      <c r="F411" s="229">
        <f>D411*E411</f>
        <v>0</v>
      </c>
    </row>
    <row r="412" spans="1:6" ht="12.75" customHeight="1" x14ac:dyDescent="0.2">
      <c r="A412" s="316" t="s">
        <v>621</v>
      </c>
      <c r="B412" s="317"/>
      <c r="C412" s="191"/>
      <c r="D412" s="377"/>
      <c r="E412" s="283"/>
      <c r="F412" s="274">
        <f>SUM(F365:F411)</f>
        <v>0</v>
      </c>
    </row>
    <row r="413" spans="1:6" x14ac:dyDescent="0.2">
      <c r="A413" s="180"/>
      <c r="B413" s="151"/>
      <c r="C413" s="117"/>
      <c r="D413" s="118"/>
      <c r="E413" s="225"/>
      <c r="F413" s="247"/>
    </row>
    <row r="414" spans="1:6" x14ac:dyDescent="0.2">
      <c r="A414" s="180"/>
      <c r="B414" s="151"/>
      <c r="C414" s="117"/>
      <c r="D414" s="118"/>
      <c r="E414" s="225"/>
      <c r="F414" s="247"/>
    </row>
    <row r="415" spans="1:6" ht="13.5" thickBot="1" x14ac:dyDescent="0.25">
      <c r="A415" s="171"/>
      <c r="B415" s="171"/>
      <c r="C415" s="117"/>
      <c r="D415" s="118"/>
      <c r="E415" s="225"/>
      <c r="F415" s="247"/>
    </row>
    <row r="416" spans="1:6" ht="15.75" x14ac:dyDescent="0.25">
      <c r="A416" s="348" t="s">
        <v>241</v>
      </c>
      <c r="B416" s="349"/>
      <c r="C416" s="134"/>
      <c r="D416" s="383"/>
      <c r="E416" s="276"/>
      <c r="F416" s="277" t="s">
        <v>198</v>
      </c>
    </row>
    <row r="417" spans="1:6" ht="15.75" x14ac:dyDescent="0.25">
      <c r="A417" s="222"/>
      <c r="B417" s="223"/>
      <c r="C417" s="131"/>
      <c r="D417" s="360"/>
      <c r="E417" s="270"/>
      <c r="F417" s="278"/>
    </row>
    <row r="418" spans="1:6" x14ac:dyDescent="0.2">
      <c r="A418" s="342" t="str">
        <f>A3</f>
        <v>1. UREDITEV GRADBIŠČA</v>
      </c>
      <c r="B418" s="343"/>
      <c r="C418" s="131"/>
      <c r="D418" s="360"/>
      <c r="E418" s="270"/>
      <c r="F418" s="279">
        <f>+F6</f>
        <v>0</v>
      </c>
    </row>
    <row r="419" spans="1:6" x14ac:dyDescent="0.2">
      <c r="A419" s="342" t="str">
        <f>A8</f>
        <v>2. UREDITEV JUŽNE GRABIŠČNE POTI</v>
      </c>
      <c r="B419" s="343"/>
      <c r="C419" s="131"/>
      <c r="D419" s="360"/>
      <c r="E419" s="270"/>
      <c r="F419" s="279">
        <f>+F18</f>
        <v>0</v>
      </c>
    </row>
    <row r="420" spans="1:6" x14ac:dyDescent="0.2">
      <c r="A420" s="342" t="str">
        <f>A20</f>
        <v>3. PREDDELA ETAPA 5</v>
      </c>
      <c r="B420" s="343"/>
      <c r="C420" s="131"/>
      <c r="D420" s="360"/>
      <c r="E420" s="270"/>
      <c r="F420" s="279">
        <f>+F44</f>
        <v>0</v>
      </c>
    </row>
    <row r="421" spans="1:6" x14ac:dyDescent="0.2">
      <c r="A421" s="318" t="str">
        <f>A46</f>
        <v>4. ZEMELJSKA DELA  ZA GROBNO POLJE GP6</v>
      </c>
      <c r="B421" s="319"/>
      <c r="C421" s="130"/>
      <c r="D421" s="371"/>
      <c r="E421" s="262"/>
      <c r="F421" s="279">
        <f>+F70</f>
        <v>0</v>
      </c>
    </row>
    <row r="422" spans="1:6" x14ac:dyDescent="0.2">
      <c r="A422" s="318" t="str">
        <f>A72</f>
        <v xml:space="preserve">5. AB PODPORNI ZID GP6a </v>
      </c>
      <c r="B422" s="319"/>
      <c r="C422" s="130"/>
      <c r="D422" s="371"/>
      <c r="E422" s="262"/>
      <c r="F422" s="279">
        <f>+F102</f>
        <v>0</v>
      </c>
    </row>
    <row r="423" spans="1:6" x14ac:dyDescent="0.2">
      <c r="A423" s="339" t="str">
        <f>+A104</f>
        <v xml:space="preserve">6. AB PODPORNI ZID GP6b </v>
      </c>
      <c r="B423" s="340"/>
      <c r="C423" s="130"/>
      <c r="D423" s="371"/>
      <c r="E423" s="262"/>
      <c r="F423" s="279">
        <f>+F138</f>
        <v>0</v>
      </c>
    </row>
    <row r="424" spans="1:6" x14ac:dyDescent="0.2">
      <c r="A424" s="339" t="str">
        <f>A140</f>
        <v>7. AB OBODNI ZID  - DEL PRI GP6</v>
      </c>
      <c r="B424" s="340"/>
      <c r="C424" s="130"/>
      <c r="D424" s="371"/>
      <c r="E424" s="262"/>
      <c r="F424" s="279">
        <f>+F169</f>
        <v>0</v>
      </c>
    </row>
    <row r="425" spans="1:6" x14ac:dyDescent="0.2">
      <c r="A425" s="318" t="str">
        <f>A171</f>
        <v>8. GROBNO POLJE GP6</v>
      </c>
      <c r="B425" s="319"/>
      <c r="C425" s="130"/>
      <c r="D425" s="371"/>
      <c r="E425" s="262"/>
      <c r="F425" s="279">
        <f>+F185</f>
        <v>0</v>
      </c>
    </row>
    <row r="426" spans="1:6" x14ac:dyDescent="0.2">
      <c r="A426" s="132" t="str">
        <f>A187</f>
        <v>9. KONČNA UREDITEV POVRŠIN GROBNEGA POLJA GP6</v>
      </c>
      <c r="B426" s="133"/>
      <c r="C426" s="130"/>
      <c r="D426" s="371"/>
      <c r="E426" s="262"/>
      <c r="F426" s="279">
        <f>+F208</f>
        <v>0</v>
      </c>
    </row>
    <row r="427" spans="1:6" x14ac:dyDescent="0.2">
      <c r="A427" s="318" t="str">
        <f>A210</f>
        <v>10. TALNI ŽARNI GROBOVI (pred zidom GP6)</v>
      </c>
      <c r="B427" s="319"/>
      <c r="C427" s="130"/>
      <c r="D427" s="371"/>
      <c r="E427" s="262"/>
      <c r="F427" s="279">
        <f>+F232</f>
        <v>0</v>
      </c>
    </row>
    <row r="428" spans="1:6" x14ac:dyDescent="0.2">
      <c r="A428" s="350" t="str">
        <f>A234</f>
        <v>11. EKOLOŠKI OTOK</v>
      </c>
      <c r="B428" s="319"/>
      <c r="C428" s="130"/>
      <c r="D428" s="371"/>
      <c r="E428" s="262"/>
      <c r="F428" s="279">
        <f>+F264</f>
        <v>0</v>
      </c>
    </row>
    <row r="429" spans="1:6" x14ac:dyDescent="0.2">
      <c r="A429" s="318" t="str">
        <f>A266</f>
        <v>12. POHODNE POTI</v>
      </c>
      <c r="B429" s="319"/>
      <c r="C429" s="130"/>
      <c r="D429" s="371"/>
      <c r="E429" s="262"/>
      <c r="F429" s="279">
        <f>F291</f>
        <v>0</v>
      </c>
    </row>
    <row r="430" spans="1:6" x14ac:dyDescent="0.2">
      <c r="A430" s="318" t="str">
        <f>A293</f>
        <v>13. ODVODNJAVANJE V ETAPI 5</v>
      </c>
      <c r="B430" s="319"/>
      <c r="C430" s="130"/>
      <c r="D430" s="371"/>
      <c r="E430" s="262"/>
      <c r="F430" s="279">
        <f>+F356</f>
        <v>0</v>
      </c>
    </row>
    <row r="431" spans="1:6" x14ac:dyDescent="0.2">
      <c r="A431" s="339" t="str">
        <f>A358</f>
        <v>14. ELEKTROINŠTALACIJE</v>
      </c>
      <c r="B431" s="340"/>
      <c r="C431" s="131"/>
      <c r="D431" s="360"/>
      <c r="E431" s="270"/>
      <c r="F431" s="279">
        <f>F360</f>
        <v>0</v>
      </c>
    </row>
    <row r="432" spans="1:6" ht="13.5" thickBot="1" x14ac:dyDescent="0.25">
      <c r="A432" s="318" t="str">
        <f>A362</f>
        <v>15. VODOVOD</v>
      </c>
      <c r="B432" s="319"/>
      <c r="C432" s="131"/>
      <c r="D432" s="360"/>
      <c r="E432" s="270"/>
      <c r="F432" s="279">
        <f>+F412</f>
        <v>0</v>
      </c>
    </row>
    <row r="433" spans="1:11" ht="33.75" customHeight="1" thickBot="1" x14ac:dyDescent="0.3">
      <c r="A433" s="287"/>
      <c r="B433" s="288" t="s">
        <v>197</v>
      </c>
      <c r="C433" s="289"/>
      <c r="D433" s="384"/>
      <c r="E433" s="290"/>
      <c r="F433" s="291">
        <f>SUM(F418:F432)</f>
        <v>0</v>
      </c>
    </row>
    <row r="434" spans="1:11" ht="46.5" customHeight="1" thickBot="1" x14ac:dyDescent="0.25">
      <c r="A434" s="320" t="s">
        <v>622</v>
      </c>
      <c r="B434" s="321"/>
      <c r="C434" s="224"/>
      <c r="D434" s="385"/>
      <c r="E434" s="280"/>
      <c r="F434" s="281">
        <f>+F433*0.1</f>
        <v>0</v>
      </c>
    </row>
    <row r="435" spans="1:11" ht="28.5" customHeight="1" thickTop="1" thickBot="1" x14ac:dyDescent="0.3">
      <c r="A435" s="314" t="s">
        <v>242</v>
      </c>
      <c r="B435" s="315" t="s">
        <v>195</v>
      </c>
      <c r="C435" s="292"/>
      <c r="D435" s="386"/>
      <c r="E435" s="293"/>
      <c r="F435" s="294">
        <f>+F433+F434</f>
        <v>0</v>
      </c>
      <c r="K435" s="295"/>
    </row>
  </sheetData>
  <sheetProtection selectLockedCells="1" selectUnlockedCells="1"/>
  <mergeCells count="62">
    <mergeCell ref="A431:B431"/>
    <mergeCell ref="A432:B432"/>
    <mergeCell ref="A140:B140"/>
    <mergeCell ref="A169:B169"/>
    <mergeCell ref="A185:B185"/>
    <mergeCell ref="B367:F367"/>
    <mergeCell ref="B364:F364"/>
    <mergeCell ref="A427:B427"/>
    <mergeCell ref="A416:B416"/>
    <mergeCell ref="B381:F381"/>
    <mergeCell ref="B384:F384"/>
    <mergeCell ref="A430:B430"/>
    <mergeCell ref="A424:B424"/>
    <mergeCell ref="A428:B428"/>
    <mergeCell ref="B394:F394"/>
    <mergeCell ref="B397:F397"/>
    <mergeCell ref="A421:B421"/>
    <mergeCell ref="A423:B423"/>
    <mergeCell ref="B407:F407"/>
    <mergeCell ref="A208:D208"/>
    <mergeCell ref="A418:B418"/>
    <mergeCell ref="A419:B419"/>
    <mergeCell ref="A358:B358"/>
    <mergeCell ref="A420:B420"/>
    <mergeCell ref="A376:B376"/>
    <mergeCell ref="A326:B326"/>
    <mergeCell ref="B404:F404"/>
    <mergeCell ref="A291:C291"/>
    <mergeCell ref="A360:B360"/>
    <mergeCell ref="A232:B232"/>
    <mergeCell ref="A264:B264"/>
    <mergeCell ref="A3:B3"/>
    <mergeCell ref="A8:B8"/>
    <mergeCell ref="A18:B18"/>
    <mergeCell ref="A265:B265"/>
    <mergeCell ref="A6:B6"/>
    <mergeCell ref="A70:B70"/>
    <mergeCell ref="A72:B72"/>
    <mergeCell ref="A102:B102"/>
    <mergeCell ref="A138:B138"/>
    <mergeCell ref="A104:B104"/>
    <mergeCell ref="A1:B1"/>
    <mergeCell ref="A2:B2"/>
    <mergeCell ref="A20:B20"/>
    <mergeCell ref="A44:B44"/>
    <mergeCell ref="A46:B46"/>
    <mergeCell ref="A435:B435"/>
    <mergeCell ref="A356:B356"/>
    <mergeCell ref="A422:B422"/>
    <mergeCell ref="A429:B429"/>
    <mergeCell ref="A434:B434"/>
    <mergeCell ref="A425:B425"/>
    <mergeCell ref="A412:B412"/>
    <mergeCell ref="A387:B387"/>
    <mergeCell ref="A410:B410"/>
    <mergeCell ref="B388:F388"/>
    <mergeCell ref="B391:F391"/>
    <mergeCell ref="B370:F370"/>
    <mergeCell ref="B373:F373"/>
    <mergeCell ref="A380:B380"/>
    <mergeCell ref="B400:F400"/>
    <mergeCell ref="B377:F377"/>
  </mergeCells>
  <phoneticPr fontId="14" type="noConversion"/>
  <pageMargins left="0.74791666666666667" right="0.74791666666666667" top="0.98402777777777772" bottom="0.98402777777777772" header="0.51180555555555551" footer="0.51180555555555551"/>
  <pageSetup paperSize="9" scale="72" firstPageNumber="0" fitToHeight="0" orientation="portrait" horizontalDpi="300" verticalDpi="300" r:id="rId1"/>
  <headerFooter alignWithMargins="0">
    <oddHeader>&amp;LIC 032/22&amp;CPZI "Razširitev pokopališča Škocjan"</oddHeader>
    <oddFooter>&amp;LIzgradnja grobnega polja / ETAPA 5 - izvleček GP6&amp;CJunij, 2022&amp;R&amp;P/&amp;N</oddFooter>
  </headerFooter>
  <rowBreaks count="8" manualBreakCount="8">
    <brk id="49" max="5" man="1"/>
    <brk id="87" max="5" man="1"/>
    <brk id="132" max="5" man="1"/>
    <brk id="181" max="5" man="1"/>
    <brk id="229" max="5" man="1"/>
    <brk id="280" max="5" man="1"/>
    <brk id="357" max="5" man="1"/>
    <brk id="414"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3</vt:i4>
      </vt:variant>
      <vt:variant>
        <vt:lpstr>Imenovani obsegi</vt:lpstr>
      </vt:variant>
      <vt:variant>
        <vt:i4>3</vt:i4>
      </vt:variant>
    </vt:vector>
  </HeadingPairs>
  <TitlesOfParts>
    <vt:vector size="6" baseType="lpstr">
      <vt:lpstr>Faza4 (2)</vt:lpstr>
      <vt:lpstr>rekapitulacija-pokopališče2022</vt:lpstr>
      <vt:lpstr>ETAPA 5</vt:lpstr>
      <vt:lpstr>'ETAPA 5'!Področje_tiskanja</vt:lpstr>
      <vt:lpstr>'Faza4 (2)'!Področje_tiskanja</vt:lpstr>
      <vt:lpstr>'rekapitulacija-pokopališče2022'!Področje_tiskanja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Marjeta Vrancic</dc:creator>
  <cp:lastModifiedBy>Robert Rojc</cp:lastModifiedBy>
  <cp:lastPrinted>2022-09-02T07:56:01Z</cp:lastPrinted>
  <dcterms:created xsi:type="dcterms:W3CDTF">2017-05-24T07:10:38Z</dcterms:created>
  <dcterms:modified xsi:type="dcterms:W3CDTF">2022-09-02T08:19:49Z</dcterms:modified>
</cp:coreProperties>
</file>